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51C62DE1-0294-4FFB-8012-87E537746930}" xr6:coauthVersionLast="47" xr6:coauthVersionMax="47" xr10:uidLastSave="{00000000-0000-0000-0000-000000000000}"/>
  <bookViews>
    <workbookView xWindow="-98" yWindow="-98" windowWidth="17115" windowHeight="10755" activeTab="1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E98" i="4" l="1"/>
  <c r="F95" i="4"/>
  <c r="E95" i="4"/>
  <c r="F94" i="4"/>
  <c r="F93" i="4"/>
  <c r="E93" i="4"/>
  <c r="F91" i="4"/>
  <c r="F92" i="4" s="1"/>
  <c r="E91" i="4"/>
  <c r="E92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C44" i="4"/>
  <c r="G2" i="1"/>
  <c r="F96" i="4" l="1"/>
  <c r="F97" i="4"/>
  <c r="D53" i="4"/>
  <c r="D93" i="3"/>
  <c r="B11" i="5" l="1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L36" i="2"/>
  <c r="L37" i="2" s="1"/>
  <c r="L38" i="2" s="1"/>
  <c r="M36" i="2"/>
  <c r="M37" i="2" s="1"/>
  <c r="M38" i="2" s="1"/>
  <c r="K37" i="2"/>
  <c r="K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C25" i="1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F80" i="3"/>
  <c r="E80" i="3" s="1"/>
  <c r="E76" i="3"/>
  <c r="E79" i="3" s="1"/>
  <c r="H76" i="3"/>
  <c r="H79" i="3" s="1"/>
  <c r="D83" i="3"/>
  <c r="D85" i="3"/>
  <c r="C86" i="3"/>
  <c r="C87" i="3" s="1"/>
  <c r="C46" i="2"/>
  <c r="C54" i="2" l="1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<sst xmlns="http://schemas.openxmlformats.org/spreadsheetml/2006/main" count="403" uniqueCount="288">
  <si>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</si>
  <si>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</si>
  <si>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</si>
  <si>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</si>
  <si>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</si>
  <si>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</si>
  <si>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</si>
  <si>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</si>
  <si>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</si>
  <si>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</si>
  <si>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</si>
  <si>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</si>
  <si>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</si>
  <si>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</si>
  <si>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</si>
  <si>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</si>
  <si>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</si>
  <si>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</si>
  <si>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</si>
  <si>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</si>
  <si>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</si>
  <si>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</si>
  <si>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</si>
  <si>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</si>
  <si>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</si>
  <si>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</si>
  <si>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</si>
  <si>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</si>
  <si>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</si>
  <si>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</si>
  <si>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</si>
  <si>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</si>
  <si>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</si>
  <si>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</si>
  <si>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</si>
  <si>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</si>
  <si>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</si>
  <si>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</si>
  <si>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</si>
  <si>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</si>
  <si>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</si>
  <si>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</si>
  <si>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</si>
  <si>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</si>
  <si>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</si>
  <si>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</si>
  <si>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</si>
  <si>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</si>
  <si>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</si>
  <si>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</si>
  <si>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</si>
  <si>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</si>
  <si>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</si>
  <si>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</si>
  <si>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</si>
  <si>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</si>
  <si>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</si>
  <si>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</si>
  <si>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</si>
  <si>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</si>
  <si>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</si>
  <si>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</si>
  <si>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</si>
  <si>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</si>
  <si>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</si>
  <si>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</si>
  <si>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</si>
  <si>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</si>
  <si>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</si>
  <si>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</si>
  <si>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</si>
  <si>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</si>
  <si>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</si>
  <si>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</si>
  <si>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</si>
  <si>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</si>
  <si>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</si>
  <si>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</si>
  <si>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</si>
  <si>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</si>
  <si>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</si>
  <si>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</si>
  <si>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</si>
  <si>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</si>
  <si>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</si>
  <si>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</si>
  <si>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</si>
  <si>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</si>
  <si>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</si>
  <si>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</si>
  <si>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</si>
  <si>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</si>
  <si>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</si>
  <si>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</si>
  <si>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</si>
  <si>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</si>
  <si>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</si>
  <si>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</si>
  <si>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</si>
  <si>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</si>
  <si>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</si>
  <si>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</si>
  <si>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</si>
  <si>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</si>
  <si>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</si>
  <si>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</si>
  <si>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</si>
  <si>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</si>
  <si>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</si>
  <si>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</si>
  <si>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</si>
  <si>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</si>
  <si>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</si>
  <si>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</si>
  <si>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</si>
  <si>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</si>
  <si>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</si>
  <si>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</si>
  <si>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</si>
  <si>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</si>
  <si>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</si>
  <si>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</si>
  <si>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</si>
  <si>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</si>
  <si>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</si>
  <si>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</si>
  <si>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</si>
  <si>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</si>
  <si>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</si>
  <si>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</si>
  <si>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</si>
  <si>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</si>
  <si>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</si>
  <si>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</si>
  <si>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</si>
  <si>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</si>
  <si>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</si>
  <si>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</si>
  <si>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</si>
  <si>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</si>
  <si>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</si>
  <si>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</si>
  <si>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</si>
  <si>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</si>
  <si>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</si>
  <si>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</si>
  <si>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</si>
  <si>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</si>
  <si>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</si>
  <si>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</si>
  <si>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</si>
  <si>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</si>
  <si>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</si>
  <si>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</si>
  <si>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</si>
  <si>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</si>
  <si>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</si>
  <si>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</si>
  <si>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</si>
  <si>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</si>
  <si>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</si>
  <si>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</si>
  <si>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</si>
  <si>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</si>
  <si>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</si>
  <si>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</si>
  <si>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</si>
  <si>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</si>
  <si>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</si>
  <si>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</si>
  <si>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</si>
  <si>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</si>
  <si>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</si>
  <si>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</si>
  <si>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</si>
  <si>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</si>
  <si>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</si>
  <si>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</si>
  <si>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</si>
  <si>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</si>
  <si>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</si>
  <si>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</si>
  <si>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</si>
  <si>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</si>
  <si>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</si>
  <si>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</si>
  <si>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</si>
  <si>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</si>
  <si>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</si>
  <si>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</si>
  <si>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</si>
  <si>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</si>
  <si>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</si>
  <si>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</si>
  <si>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</si>
  <si>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</si>
  <si>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</si>
  <si>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</si>
  <si>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</si>
  <si>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</si>
  <si>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</si>
  <si>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</si>
  <si>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</si>
  <si>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</si>
  <si>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</si>
  <si>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</si>
  <si>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</si>
  <si>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</si>
  <si>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</si>
  <si>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</si>
  <si>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</si>
  <si>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</si>
  <si>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</si>
  <si>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</si>
  <si>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</si>
  <si>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</si>
  <si>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</si>
  <si>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</si>
  <si>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</si>
  <si>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</si>
  <si>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</si>
  <si>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</si>
  <si>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</si>
  <si>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</si>
  <si>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</si>
  <si>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</si>
  <si>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</si>
  <si>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</si>
  <si>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</si>
  <si>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</si>
  <si>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</si>
  <si>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</si>
  <si>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</si>
  <si>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</si>
  <si>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</si>
  <si>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</si>
  <si>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</si>
  <si>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</si>
  <si>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</si>
  <si>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</si>
  <si>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</si>
  <si>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</si>
  <si>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</si>
  <si>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</si>
  <si>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</si>
  <si>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</si>
  <si>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</si>
  <si>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</si>
  <si>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</si>
  <si>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</si>
  <si>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</si>
  <si>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</si>
  <si>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</si>
  <si>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</si>
  <si>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</si>
  <si>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</si>
  <si>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</si>
  <si>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</si>
  <si>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</si>
  <si>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</si>
  <si>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</si>
  <si>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</si>
  <si>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</si>
  <si>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</si>
  <si>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</si>
  <si>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</si>
  <si>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</si>
  <si>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</si>
  <si>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</si>
  <si>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</si>
  <si>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</si>
  <si>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</si>
  <si>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</si>
  <si>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</si>
  <si>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</si>
  <si>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</si>
  <si>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</si>
  <si>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Reinvest Nonop @</t>
    <phoneticPr fontId="3" type="noConversion"/>
  </si>
  <si>
    <t>PlaceHolder_5</t>
    <phoneticPr fontId="3" type="noConversion"/>
  </si>
  <si>
    <t>1288.HK</t>
  </si>
  <si>
    <t>农业银行</t>
  </si>
  <si>
    <t xml:space="preserve">Superior Cycl. </t>
  </si>
  <si>
    <t>C0014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</si>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</sst>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0" fillId="0" borderId="4" xfId="0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0000FF"/>
      <color rgb="FFFFFFCC"/>
      <color rgb="FFB6D7A8"/>
      <color rgb="FF2F75B5"/>
      <color rgb="FFFF0000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279</v>
      </c>
      <c r="D4" s="66"/>
    </row>
    <row r="5" spans="1:5" x14ac:dyDescent="0.35">
      <c r="B5" s="46" t="s">
        <v>170</v>
      </c>
      <c r="C5" s="67" t="s">
        <v>280</v>
      </c>
    </row>
    <row r="6" spans="1:5" x14ac:dyDescent="0.35">
      <c r="B6" s="46" t="s">
        <v>270</v>
      </c>
      <c r="C6" s="68">
        <v>45593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281</v>
      </c>
    </row>
    <row r="9" spans="1:5" x14ac:dyDescent="0.35">
      <c r="B9" s="39" t="s">
        <v>191</v>
      </c>
      <c r="C9" s="124" t="s">
        <v>282</v>
      </c>
    </row>
    <row r="10" spans="1:5" x14ac:dyDescent="0.35">
      <c r="B10" s="39" t="s">
        <v>192</v>
      </c>
      <c r="C10" s="70">
        <v>349983033873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222</v>
      </c>
      <c r="C15" s="122" t="s">
        <v>276</v>
      </c>
    </row>
    <row r="16" spans="1:5" x14ac:dyDescent="0.35">
      <c r="B16" s="74" t="s">
        <v>88</v>
      </c>
      <c r="C16" s="125">
        <v>0.25</v>
      </c>
      <c r="D16" s="75"/>
      <c r="E16" s="25" t="s">
        <v>253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285</v>
      </c>
      <c r="D18" s="75"/>
    </row>
    <row r="19" spans="2:13" x14ac:dyDescent="0.35">
      <c r="B19" s="56" t="s">
        <v>212</v>
      </c>
      <c r="C19" s="126" t="s">
        <v>285</v>
      </c>
      <c r="D19" s="75"/>
    </row>
    <row r="20" spans="2:13" x14ac:dyDescent="0.35">
      <c r="B20" s="57" t="s">
        <v>201</v>
      </c>
      <c r="C20" s="126" t="s">
        <v>285</v>
      </c>
      <c r="D20" s="75"/>
    </row>
    <row r="21" spans="2:13" x14ac:dyDescent="0.35">
      <c r="B21" s="2" t="s">
        <v>204</v>
      </c>
      <c r="C21" s="126" t="s">
        <v>284</v>
      </c>
      <c r="D21" s="75"/>
    </row>
    <row r="22" spans="2:13" ht="69.75" x14ac:dyDescent="0.35">
      <c r="B22" s="59" t="s">
        <v>203</v>
      </c>
      <c r="C22" s="127" t="s">
        <v>286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1318408</v>
      </c>
      <c r="D25" s="80">
        <v>1203982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150324</v>
      </c>
      <c r="D26" s="82">
        <v>159502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252305</v>
      </c>
      <c r="D27" s="82">
        <v>243571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223</v>
      </c>
      <c r="C29" s="82">
        <v>651948</v>
      </c>
      <c r="D29" s="82">
        <v>518581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464</v>
      </c>
      <c r="D30" s="82">
        <v>-366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/>
      <c r="D31" s="82"/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/>
      <c r="D32" s="82"/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/>
      <c r="D33" s="82"/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245</v>
      </c>
      <c r="C34" s="84"/>
      <c r="D34" s="82"/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/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/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244</v>
      </c>
      <c r="C37" s="82"/>
      <c r="D37" s="82"/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250</v>
      </c>
      <c r="C38" s="82"/>
      <c r="D38" s="82"/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/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/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/>
      <c r="D41" s="82"/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/>
      <c r="D42" s="82"/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/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f>0.2309+0.1164</f>
        <v>0.3473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219</v>
      </c>
      <c r="C45" s="87">
        <f>IF(C44="","",C44*Exchange_Rate/Dashboard!$G$3)</f>
        <v>8.3401887029342134E-2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/>
      <c r="D48" s="114">
        <v>0.9</v>
      </c>
      <c r="E48" s="266"/>
    </row>
    <row r="49" spans="2:5" x14ac:dyDescent="0.35">
      <c r="B49" s="2" t="s">
        <v>125</v>
      </c>
      <c r="C49" s="91"/>
      <c r="D49" s="114">
        <v>0.8</v>
      </c>
      <c r="E49" s="266"/>
    </row>
    <row r="50" spans="2:5" x14ac:dyDescent="0.35">
      <c r="B50" s="9" t="s">
        <v>107</v>
      </c>
      <c r="C50" s="91"/>
      <c r="D50" s="114">
        <f>D51</f>
        <v>0.6</v>
      </c>
      <c r="E50" s="266"/>
    </row>
    <row r="51" spans="2:5" x14ac:dyDescent="0.35">
      <c r="B51" s="9" t="s">
        <v>34</v>
      </c>
      <c r="C51" s="91"/>
      <c r="D51" s="114">
        <v>0.6</v>
      </c>
      <c r="E51" s="266"/>
    </row>
    <row r="52" spans="2:5" x14ac:dyDescent="0.35">
      <c r="B52" s="9" t="s">
        <v>36</v>
      </c>
      <c r="C52" s="91"/>
      <c r="D52" s="114">
        <v>0.5</v>
      </c>
      <c r="E52" s="266"/>
    </row>
    <row r="53" spans="2:5" x14ac:dyDescent="0.35">
      <c r="B53" s="2" t="s">
        <v>143</v>
      </c>
      <c r="C53" s="91"/>
      <c r="D53" s="114">
        <f>D50</f>
        <v>0.6</v>
      </c>
      <c r="E53" s="266"/>
    </row>
    <row r="54" spans="2:5" x14ac:dyDescent="0.35">
      <c r="B54" s="9" t="s">
        <v>227</v>
      </c>
      <c r="C54" s="91"/>
      <c r="D54" s="114">
        <v>0.1</v>
      </c>
      <c r="E54" s="266"/>
    </row>
    <row r="55" spans="2:5" x14ac:dyDescent="0.35">
      <c r="B55" s="9" t="s">
        <v>39</v>
      </c>
      <c r="C55" s="91"/>
      <c r="D55" s="114">
        <f>D52</f>
        <v>0.5</v>
      </c>
      <c r="E55" s="266"/>
    </row>
    <row r="56" spans="2:5" x14ac:dyDescent="0.35">
      <c r="B56" s="2" t="s">
        <v>40</v>
      </c>
      <c r="C56" s="91"/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/>
      <c r="D57" s="114">
        <v>0.6</v>
      </c>
      <c r="E57" s="267" t="s">
        <v>38</v>
      </c>
    </row>
    <row r="58" spans="2:5" x14ac:dyDescent="0.35">
      <c r="B58" s="9" t="s">
        <v>42</v>
      </c>
      <c r="C58" s="91"/>
      <c r="D58" s="114">
        <f>D48</f>
        <v>0.9</v>
      </c>
      <c r="E58" s="266"/>
    </row>
    <row r="59" spans="2:5" x14ac:dyDescent="0.35">
      <c r="B59" s="12" t="s">
        <v>43</v>
      </c>
      <c r="C59" s="93"/>
      <c r="D59" s="115">
        <f>D70</f>
        <v>0.05</v>
      </c>
      <c r="E59" s="266"/>
    </row>
    <row r="60" spans="2:5" x14ac:dyDescent="0.35">
      <c r="B60" s="9" t="s">
        <v>53</v>
      </c>
      <c r="C60" s="91"/>
      <c r="D60" s="114">
        <f>D49</f>
        <v>0.8</v>
      </c>
      <c r="E60" s="266"/>
    </row>
    <row r="61" spans="2:5" x14ac:dyDescent="0.35">
      <c r="B61" s="9" t="s">
        <v>55</v>
      </c>
      <c r="C61" s="91"/>
      <c r="D61" s="114">
        <f>D51</f>
        <v>0.6</v>
      </c>
      <c r="E61" s="266"/>
    </row>
    <row r="62" spans="2:5" x14ac:dyDescent="0.35">
      <c r="B62" s="9" t="s">
        <v>57</v>
      </c>
      <c r="C62" s="91"/>
      <c r="D62" s="114">
        <f>D52</f>
        <v>0.5</v>
      </c>
      <c r="E62" s="266"/>
    </row>
    <row r="63" spans="2:5" x14ac:dyDescent="0.35">
      <c r="B63" s="2" t="s">
        <v>144</v>
      </c>
      <c r="C63" s="91"/>
      <c r="D63" s="114">
        <f>D62</f>
        <v>0.5</v>
      </c>
      <c r="E63" s="266"/>
    </row>
    <row r="64" spans="2:5" x14ac:dyDescent="0.35">
      <c r="B64" s="9" t="s">
        <v>226</v>
      </c>
      <c r="C64" s="91"/>
      <c r="D64" s="114">
        <v>0.4</v>
      </c>
      <c r="E64" s="266"/>
    </row>
    <row r="65" spans="2:5" x14ac:dyDescent="0.35">
      <c r="B65" s="9" t="s">
        <v>62</v>
      </c>
      <c r="C65" s="91"/>
      <c r="D65" s="114">
        <v>0.1</v>
      </c>
      <c r="E65" s="267" t="s">
        <v>63</v>
      </c>
    </row>
    <row r="66" spans="2:5" x14ac:dyDescent="0.35">
      <c r="B66" s="9" t="s">
        <v>64</v>
      </c>
      <c r="C66" s="91"/>
      <c r="D66" s="114">
        <v>0.2</v>
      </c>
      <c r="E66" s="267" t="s">
        <v>63</v>
      </c>
    </row>
    <row r="67" spans="2:5" x14ac:dyDescent="0.35">
      <c r="B67" s="2" t="s">
        <v>41</v>
      </c>
      <c r="C67" s="91"/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/>
      <c r="D68" s="114">
        <f>D65</f>
        <v>0.1</v>
      </c>
      <c r="E68" s="266"/>
    </row>
    <row r="69" spans="2:5" x14ac:dyDescent="0.35">
      <c r="B69" s="9" t="s">
        <v>65</v>
      </c>
      <c r="C69" s="91"/>
      <c r="D69" s="114">
        <f>D70</f>
        <v>0.05</v>
      </c>
      <c r="E69" s="266"/>
    </row>
    <row r="70" spans="2:5" x14ac:dyDescent="0.35">
      <c r="B70" s="9" t="s">
        <v>66</v>
      </c>
      <c r="C70" s="91"/>
      <c r="D70" s="114">
        <v>0.05</v>
      </c>
      <c r="E70" s="266"/>
    </row>
    <row r="71" spans="2:5" x14ac:dyDescent="0.35">
      <c r="B71" s="9" t="s">
        <v>67</v>
      </c>
      <c r="C71" s="91"/>
      <c r="D71" s="114">
        <f>D58</f>
        <v>0.9</v>
      </c>
      <c r="E71" s="266"/>
    </row>
    <row r="72" spans="2:5" ht="12" thickBot="1" x14ac:dyDescent="0.4">
      <c r="B72" s="94" t="s">
        <v>68</v>
      </c>
      <c r="C72" s="95"/>
      <c r="D72" s="116">
        <v>0</v>
      </c>
      <c r="E72" s="268"/>
    </row>
    <row r="73" spans="2:5" x14ac:dyDescent="0.35">
      <c r="B73" s="9" t="s">
        <v>31</v>
      </c>
      <c r="C73" s="91"/>
    </row>
    <row r="74" spans="2:5" x14ac:dyDescent="0.35">
      <c r="B74" s="9" t="s">
        <v>32</v>
      </c>
      <c r="C74" s="91"/>
    </row>
    <row r="75" spans="2:5" x14ac:dyDescent="0.35">
      <c r="B75" s="9" t="s">
        <v>33</v>
      </c>
      <c r="C75" s="91"/>
    </row>
    <row r="76" spans="2:5" x14ac:dyDescent="0.35">
      <c r="B76" s="8" t="s">
        <v>35</v>
      </c>
      <c r="C76" s="93"/>
    </row>
    <row r="77" spans="2:5" ht="12" thickBot="1" x14ac:dyDescent="0.4">
      <c r="B77" s="96" t="s">
        <v>15</v>
      </c>
      <c r="C77" s="97"/>
    </row>
    <row r="78" spans="2:5" ht="12" thickTop="1" x14ac:dyDescent="0.35">
      <c r="B78" s="9" t="s">
        <v>54</v>
      </c>
      <c r="C78" s="91"/>
    </row>
    <row r="79" spans="2:5" x14ac:dyDescent="0.35">
      <c r="B79" s="9" t="s">
        <v>56</v>
      </c>
      <c r="C79" s="91"/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248</v>
      </c>
      <c r="C82" s="84"/>
    </row>
    <row r="83" spans="2:8" ht="12" hidden="1" thickTop="1" x14ac:dyDescent="0.35">
      <c r="B83" s="98" t="s">
        <v>249</v>
      </c>
      <c r="C83" s="84"/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278</v>
      </c>
      <c r="C86" s="84">
        <v>5</v>
      </c>
      <c r="D86" s="305"/>
    </row>
    <row r="87" spans="2:8" x14ac:dyDescent="0.35">
      <c r="B87" s="88" t="s">
        <v>218</v>
      </c>
      <c r="C87" s="112" t="s">
        <v>287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1318408</v>
      </c>
      <c r="D91" s="103"/>
      <c r="E91" s="104">
        <f>C91</f>
        <v>1318408</v>
      </c>
      <c r="F91" s="104">
        <f>C91</f>
        <v>1318408</v>
      </c>
    </row>
    <row r="92" spans="2:8" x14ac:dyDescent="0.35">
      <c r="B92" s="105" t="s">
        <v>97</v>
      </c>
      <c r="C92" s="102">
        <f>C26</f>
        <v>150324</v>
      </c>
      <c r="D92" s="106">
        <f>C92/C91</f>
        <v>0.11401933240696355</v>
      </c>
      <c r="E92" s="107">
        <f>E91*D92</f>
        <v>150324</v>
      </c>
      <c r="F92" s="107">
        <f>F91*D92</f>
        <v>150324</v>
      </c>
    </row>
    <row r="93" spans="2:8" x14ac:dyDescent="0.35">
      <c r="B93" s="105" t="s">
        <v>217</v>
      </c>
      <c r="C93" s="102">
        <f>C27+C28</f>
        <v>252305</v>
      </c>
      <c r="D93" s="106">
        <f>C93/C91</f>
        <v>0.19137095648691452</v>
      </c>
      <c r="E93" s="107">
        <f>E91*D93</f>
        <v>252305</v>
      </c>
      <c r="F93" s="107">
        <f>F91*D93</f>
        <v>252305</v>
      </c>
    </row>
    <row r="94" spans="2:8" x14ac:dyDescent="0.35">
      <c r="B94" s="105" t="s">
        <v>223</v>
      </c>
      <c r="C94" s="102">
        <f>C29</f>
        <v>651948</v>
      </c>
      <c r="D94" s="106">
        <f>C94/C91</f>
        <v>0.49449639261897682</v>
      </c>
      <c r="E94" s="108"/>
      <c r="F94" s="107">
        <f>F91*D94</f>
        <v>651948</v>
      </c>
    </row>
    <row r="95" spans="2:8" x14ac:dyDescent="0.35">
      <c r="B95" s="18" t="s">
        <v>216</v>
      </c>
      <c r="C95" s="102">
        <f>ABS(MAX(C33,0)-C32)</f>
        <v>0</v>
      </c>
      <c r="D95" s="106">
        <f>C95/C91</f>
        <v>0</v>
      </c>
      <c r="E95" s="107">
        <f>E91*D95</f>
        <v>0</v>
      </c>
      <c r="F95" s="107">
        <f>F91*D95</f>
        <v>0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618.66666666666663</v>
      </c>
      <c r="D97" s="106">
        <f>C97/C91</f>
        <v>4.6925281602255647E-4</v>
      </c>
      <c r="E97" s="108"/>
      <c r="F97" s="107">
        <f>F91*D97</f>
        <v>618.66666666666663</v>
      </c>
    </row>
    <row r="98" spans="2:6" x14ac:dyDescent="0.35">
      <c r="B98" s="8" t="s">
        <v>182</v>
      </c>
      <c r="C98" s="109">
        <f>C44</f>
        <v>0.3473</v>
      </c>
      <c r="D98" s="110"/>
      <c r="E98" s="111">
        <f>F98</f>
        <v>0.23089999999999999</v>
      </c>
      <c r="F98" s="111">
        <v>0.23089999999999999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9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  <dataValidation type="list" showInputMessage="1" showErrorMessage="1" sqref="D4" xr:uid="{EC47C593-A7DE-4ABB-B6D2-C8BF531E4639}">
      <formula1>"HOLD"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tabSelected="1" zoomScaleNormal="100" workbookViewId="0">
      <selection activeCell="C17" sqref="C17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1288.HK : 农业银行</v>
      </c>
      <c r="D2" s="3"/>
      <c r="E2" s="7"/>
      <c r="F2" s="7"/>
      <c r="G2" s="311" t="str">
        <f>IF(Inputs!D4="","",Inputs!D4)</f>
        <v/>
      </c>
      <c r="H2" s="311"/>
    </row>
    <row r="3" spans="1:10" ht="15.75" customHeight="1" x14ac:dyDescent="0.35">
      <c r="B3" s="9" t="s">
        <v>169</v>
      </c>
      <c r="C3" s="316" t="str">
        <f>Inputs!C4</f>
        <v>1288.HK</v>
      </c>
      <c r="D3" s="317"/>
      <c r="E3" s="3"/>
      <c r="F3" s="9" t="s">
        <v>1</v>
      </c>
      <c r="G3" s="10">
        <v>4.43</v>
      </c>
      <c r="H3" s="11" t="s">
        <v>258</v>
      </c>
    </row>
    <row r="4" spans="1:10" ht="15.75" customHeight="1" x14ac:dyDescent="0.35">
      <c r="B4" s="12" t="s">
        <v>170</v>
      </c>
      <c r="C4" s="311" t="str">
        <f>Inputs!C5</f>
        <v>农业银行</v>
      </c>
      <c r="D4" s="318"/>
      <c r="E4" s="3"/>
      <c r="F4" s="9" t="s">
        <v>2</v>
      </c>
      <c r="G4" s="321">
        <f>Inputs!C10</f>
        <v>349983033873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45593</v>
      </c>
      <c r="D5" s="320"/>
      <c r="E5" s="16"/>
      <c r="F5" s="12" t="s">
        <v>91</v>
      </c>
      <c r="G5" s="314">
        <f>G3*G4/1000000</f>
        <v>1550424.8400573898</v>
      </c>
      <c r="H5" s="314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5" t="str">
        <f>Inputs!C11</f>
        <v>CNY</v>
      </c>
      <c r="H6" s="315"/>
      <c r="I6" s="17"/>
    </row>
    <row r="7" spans="1:10" ht="15.75" customHeight="1" x14ac:dyDescent="0.35">
      <c r="B7" s="8" t="s">
        <v>167</v>
      </c>
      <c r="C7" s="128" t="str">
        <f>Inputs!C8</f>
        <v xml:space="preserve">Superior Cycl. </v>
      </c>
      <c r="D7" s="128" t="str">
        <f>Inputs!C9</f>
        <v>C0014</v>
      </c>
      <c r="E7" s="3"/>
      <c r="F7" s="12" t="s">
        <v>5</v>
      </c>
      <c r="G7" s="21">
        <v>1.0638363361358643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259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220</v>
      </c>
      <c r="C12" s="120">
        <v>7.0000000000000007E-2</v>
      </c>
      <c r="D12" s="121">
        <v>7.5250000000000011E-2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221</v>
      </c>
      <c r="C17" s="119">
        <v>8.0500000000000002E-2</v>
      </c>
      <c r="D17" s="122"/>
    </row>
    <row r="18" spans="1:8" ht="15.75" customHeight="1" x14ac:dyDescent="0.35"/>
    <row r="19" spans="1:8" ht="15.75" customHeight="1" thickBot="1" x14ac:dyDescent="0.4">
      <c r="B19" s="88" t="s">
        <v>243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234</v>
      </c>
      <c r="C20" s="31" t="e">
        <f>C21*C22*C23</f>
        <v>#DIV/0!</v>
      </c>
      <c r="F20" s="3" t="s">
        <v>186</v>
      </c>
      <c r="G20" s="121">
        <v>0.15</v>
      </c>
      <c r="H20" s="307">
        <v>5</v>
      </c>
    </row>
    <row r="21" spans="1:8" ht="15.75" customHeight="1" thickTop="1" x14ac:dyDescent="0.35">
      <c r="B21" s="32" t="s">
        <v>239</v>
      </c>
      <c r="C21" s="33">
        <f>Data!C13</f>
        <v>0.6941404582900994</v>
      </c>
      <c r="F21" s="3"/>
      <c r="G21" s="34"/>
    </row>
    <row r="22" spans="1:8" ht="15.75" customHeight="1" x14ac:dyDescent="0.35">
      <c r="B22" s="35" t="s">
        <v>246</v>
      </c>
      <c r="C22" s="36" t="e">
        <f>Data!C48</f>
        <v>#DIV/0!</v>
      </c>
      <c r="F22" s="88" t="s">
        <v>260</v>
      </c>
      <c r="G22" s="293"/>
      <c r="H22" s="293"/>
    </row>
    <row r="23" spans="1:8" ht="15.75" customHeight="1" thickBot="1" x14ac:dyDescent="0.4">
      <c r="B23" s="37" t="s">
        <v>252</v>
      </c>
      <c r="C23" s="38" t="e">
        <f>1/Data!C53</f>
        <v>#DIV/0!</v>
      </c>
      <c r="F23" s="39" t="s">
        <v>165</v>
      </c>
      <c r="G23" s="40" t="e">
        <f>G3/(Data!C34*Data!C4/Common_Shares*Exchange_Rate)</f>
        <v>#DIV/0!</v>
      </c>
    </row>
    <row r="24" spans="1:8" ht="15.75" customHeight="1" x14ac:dyDescent="0.35">
      <c r="B24" s="41" t="s">
        <v>240</v>
      </c>
      <c r="C24" s="42">
        <f>Fin_Analysis!I81</f>
        <v>0.49449639261897682</v>
      </c>
      <c r="F24" s="39" t="s">
        <v>225</v>
      </c>
      <c r="G24" s="43">
        <f>G3/(Fin_Analysis!H86*G7)</f>
        <v>7.3825840380115677</v>
      </c>
    </row>
    <row r="25" spans="1:8" ht="15.75" customHeight="1" x14ac:dyDescent="0.35">
      <c r="B25" s="28" t="s">
        <v>241</v>
      </c>
      <c r="C25" s="44">
        <f>Fin_Analysis!I80</f>
        <v>0</v>
      </c>
      <c r="F25" s="39" t="s">
        <v>153</v>
      </c>
      <c r="G25" s="44">
        <f>Fin_Analysis!I88</f>
        <v>0.40935813555482176</v>
      </c>
    </row>
    <row r="26" spans="1:8" ht="15.75" customHeight="1" x14ac:dyDescent="0.35">
      <c r="B26" s="45" t="s">
        <v>242</v>
      </c>
      <c r="C26" s="44">
        <f>Fin_Analysis!I80+Fin_Analysis!I82</f>
        <v>0</v>
      </c>
      <c r="F26" s="46" t="s">
        <v>168</v>
      </c>
      <c r="G26" s="47">
        <f>Fin_Analysis!H88*Exchange_Rate/G3</f>
        <v>5.5449167045997984E-2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2" t="s">
        <v>224</v>
      </c>
      <c r="H28" s="312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2.2472930544134346</v>
      </c>
      <c r="D29" s="54">
        <f>G29*(1+G20)</f>
        <v>4.1524457745935601</v>
      </c>
      <c r="E29" s="3"/>
      <c r="F29" s="55">
        <f>IF(Fin_Analysis!C108="Profit",Fin_Analysis!F100,IF(Fin_Analysis!C108="Dividend",Fin_Analysis!F103,Fin_Analysis!F106))</f>
        <v>2.6438741816628641</v>
      </c>
      <c r="G29" s="313">
        <f>IF(Fin_Analysis!C108="Profit",Fin_Analysis!I100,IF(Fin_Analysis!C108="Dividend",Fin_Analysis!I103,Fin_Analysis!I106))</f>
        <v>3.6108224126900526</v>
      </c>
      <c r="H29" s="313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e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#DIV/0!</v>
      </c>
    </row>
    <row r="35" spans="1:4" ht="15.75" customHeight="1" x14ac:dyDescent="0.35">
      <c r="B35" s="88" t="s">
        <v>259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agree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9">
    <mergeCell ref="C3:D3"/>
    <mergeCell ref="C4:D4"/>
    <mergeCell ref="C5:D5"/>
    <mergeCell ref="G4:H4"/>
    <mergeCell ref="G2:H2"/>
    <mergeCell ref="G28:H28"/>
    <mergeCell ref="G29:H29"/>
    <mergeCell ref="G5:H5"/>
    <mergeCell ref="G6:H6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915160.33333333337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1318408</v>
      </c>
      <c r="D6" s="147">
        <f>IF(Inputs!D25="","",Inputs!D25)</f>
        <v>1203982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9.5039626838274938E-2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150324</v>
      </c>
      <c r="D8" s="149">
        <f>IF(Inputs!D26="","",Inputs!D26)</f>
        <v>159502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1168084</v>
      </c>
      <c r="D9" s="279">
        <f t="shared" si="2"/>
        <v>1044480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252305</v>
      </c>
      <c r="D10" s="149">
        <f>IF(Inputs!D27="","",Inputs!D27)</f>
        <v>243571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618.66666666666663</v>
      </c>
      <c r="D12" s="149">
        <f>IF(Inputs!D30="","",MAX(Inputs!D30,0)/(1-Fin_Analysis!$I$84))</f>
        <v>0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0.6941404582900994</v>
      </c>
      <c r="D13" s="300">
        <f t="shared" si="3"/>
        <v>0.6652167557322286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915160.33333333337</v>
      </c>
      <c r="D14" s="302">
        <f t="shared" ref="D14:M14" si="4">IF(D6="","",D9-D10-MAX(D11,0)-MAX(D12,0))</f>
        <v>800909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0.14265207824276338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 t="str">
        <f>IF(Inputs!C31="","",Inputs!C31)</f>
        <v/>
      </c>
      <c r="D16" s="149" t="str">
        <f>IF(Inputs!D31="","",Inputs!D31)</f>
        <v/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223</v>
      </c>
      <c r="C17" s="149">
        <f>IF(Inputs!C29="","",Inputs!C29)</f>
        <v>651948</v>
      </c>
      <c r="D17" s="149">
        <f>IF(Inputs!D29="","",Inputs!D29)</f>
        <v>518581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 t="str">
        <f t="shared" ref="C18:M18" si="6">IF(OR(C6="",C19=""),"",C19/C6)</f>
        <v/>
      </c>
      <c r="D18" s="233" t="str">
        <f t="shared" si="6"/>
        <v/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 t="str">
        <f>IF(Inputs!C32="","",Inputs!C32)</f>
        <v/>
      </c>
      <c r="D19" s="149" t="str">
        <f>IF(Inputs!D32="","",Inputs!D32)</f>
        <v/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0</v>
      </c>
      <c r="D20" s="233">
        <f t="shared" si="7"/>
        <v>0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 t="str">
        <f>IF(Inputs!C33="","",Inputs!C33)</f>
        <v/>
      </c>
      <c r="D21" s="149" t="str">
        <f>IF(Inputs!D33="","",Inputs!D33)</f>
        <v/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263212.33333333337</v>
      </c>
      <c r="D22" s="283">
        <f t="shared" ref="D22:M22" si="8">IF(D6="","",D14-MAX(D16,0)-MAX(D17,0)-ABS(MAX(D21,0)-MAX(D19,0)))</f>
        <v>282328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0.14973304925334194</v>
      </c>
      <c r="D23" s="148">
        <f t="shared" si="9"/>
        <v>0.17587140007076518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197409.25000000003</v>
      </c>
      <c r="D24" s="282">
        <f>IF(D6="","",D22*(1-Fin_Analysis!$I$84))</f>
        <v>211746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-6.7707300255966912E-2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0</v>
      </c>
      <c r="D27" s="153" t="str">
        <f>IF(D34="","",D34+D30)</f>
        <v/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0</v>
      </c>
      <c r="D28" s="149" t="str">
        <f>IF(Inputs!D35="","",Inputs!D35)</f>
        <v/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0</v>
      </c>
      <c r="D29" s="149" t="str">
        <f>IF(Inputs!D36="","",Inputs!D36)</f>
        <v/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244</v>
      </c>
      <c r="C30" s="153">
        <f>Inputs!C37</f>
        <v>0</v>
      </c>
      <c r="D30" s="149" t="str">
        <f>IF(Inputs!D37="","",Inputs!D37)</f>
        <v/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0</v>
      </c>
      <c r="D31" s="149" t="str">
        <f>IF(Inputs!D39="","",Inputs!D39)</f>
        <v/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0</v>
      </c>
      <c r="D32" s="149" t="str">
        <f>IF(Inputs!D40="","",Inputs!D40)</f>
        <v/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0</v>
      </c>
      <c r="D33" s="102" t="str">
        <f t="shared" ref="D33" si="22">IF(OR(D31="",D32=""),"",D31+D32)</f>
        <v/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0</v>
      </c>
      <c r="D34" s="149" t="str">
        <f>IF(Inputs!D41="","",Inputs!D41)</f>
        <v/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0</v>
      </c>
      <c r="D35" s="149" t="str">
        <f>IF(Inputs!D42="","",Inputs!D42)</f>
        <v/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 t="str">
        <f>IF(Inputs!D43="","",Inputs!D43)</f>
        <v/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0</v>
      </c>
      <c r="D37" s="153" t="str">
        <f t="shared" ref="D37:M37" si="32">IF(D36="","",D27-D36)</f>
        <v/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 t="e">
        <f>IF(C6="","",C14/MAX(C37,0))</f>
        <v>#DIV/0!</v>
      </c>
      <c r="D38" s="154" t="e">
        <f>IF(D6="","",D14/MAX(D37,0))</f>
        <v>#DIV/0!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229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0.11401933240696355</v>
      </c>
      <c r="D40" s="156">
        <f t="shared" si="34"/>
        <v>0.13247872476498818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0.19137095648691452</v>
      </c>
      <c r="D41" s="151">
        <f t="shared" si="35"/>
        <v>0.20230451950278328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0.49449639261897682</v>
      </c>
      <c r="D43" s="151">
        <f t="shared" si="37"/>
        <v>0.43072155563787501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4.6925281602255647E-4</v>
      </c>
      <c r="D44" s="151">
        <f t="shared" si="38"/>
        <v>0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0</v>
      </c>
      <c r="D45" s="151">
        <f t="shared" si="39"/>
        <v>0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0.19964406567112258</v>
      </c>
      <c r="D46" s="289">
        <f t="shared" si="40"/>
        <v>0.23449520009435357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230</v>
      </c>
      <c r="C47" s="157" t="s">
        <v>247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236</v>
      </c>
      <c r="C48" s="159" t="e">
        <f t="shared" ref="C48:M48" si="41">IF(C6="","",C6/C27)</f>
        <v>#DIV/0!</v>
      </c>
      <c r="D48" s="159" t="e">
        <f t="shared" si="41"/>
        <v>#VALUE!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237</v>
      </c>
      <c r="C49" s="151">
        <f t="shared" ref="C49:M49" si="42">IF(C28="","",C28/C6)</f>
        <v>0</v>
      </c>
      <c r="D49" s="151" t="str">
        <f t="shared" si="42"/>
        <v/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238</v>
      </c>
      <c r="C50" s="151">
        <f t="shared" ref="C50:M50" si="43">IF(C29="","",C29/C6)</f>
        <v>0</v>
      </c>
      <c r="D50" s="151" t="str">
        <f t="shared" si="43"/>
        <v/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228</v>
      </c>
      <c r="C51" s="151" t="e">
        <f t="shared" ref="C51:M51" si="44">IF(D6="","",C16/(C6-D6))</f>
        <v>#VALUE!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231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232</v>
      </c>
      <c r="C53" s="156" t="e">
        <f t="shared" ref="C53:M53" si="45">IF(C34="","",(C34-C35)/C27)</f>
        <v>#DIV/0!</v>
      </c>
      <c r="D53" s="156" t="str">
        <f t="shared" si="45"/>
        <v/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 t="str">
        <f t="shared" ref="C54:M54" si="46">IF(OR(C22="",C33=""),"",IF(C33&lt;=0,"-",C22/C33))</f>
        <v>-</v>
      </c>
      <c r="D54" s="160" t="str">
        <f t="shared" si="46"/>
        <v/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>
        <f t="shared" ref="C55:M55" si="47">IF(C22="","",IF(MAX(C17,0)&lt;=0,"-",C17/C22))</f>
        <v>2.4768900140190997</v>
      </c>
      <c r="D55" s="151">
        <f t="shared" si="47"/>
        <v>1.8368032926241817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251</v>
      </c>
      <c r="C56" s="151">
        <f>IF(C34="","",IF(Inputs!C38=0,0,Inputs!C38/C27))</f>
        <v>0</v>
      </c>
      <c r="D56" s="151" t="str">
        <f>IF(D34="","",IF(Inputs!D38=0,0,Inputs!D38/D27))</f>
        <v/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233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234</v>
      </c>
      <c r="C58" s="162" t="e">
        <f t="shared" ref="C58:M58" si="49">IF(C14="","",C14/(C34-C35))</f>
        <v>#DIV/0!</v>
      </c>
      <c r="D58" s="162" t="e">
        <f t="shared" si="49"/>
        <v>#VALUE!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235</v>
      </c>
      <c r="C59" s="162" t="e">
        <f t="shared" ref="C59:M59" si="50">IF(C22="","",C22/(C34-C35))</f>
        <v>#DIV/0!</v>
      </c>
      <c r="D59" s="162" t="e">
        <f t="shared" si="50"/>
        <v>#VALUE!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263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0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0</v>
      </c>
      <c r="K3" s="75"/>
    </row>
    <row r="4" spans="1:11" ht="15" customHeight="1" x14ac:dyDescent="0.35">
      <c r="B4" s="9" t="s">
        <v>21</v>
      </c>
      <c r="C4" s="3"/>
      <c r="D4" s="149">
        <f>Inputs!C42</f>
        <v>0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 t="e">
        <f>C28/I28</f>
        <v>#DIV/0!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0</v>
      </c>
      <c r="E6" s="176" t="e">
        <f>1-D6/D3</f>
        <v>#DIV/0!</v>
      </c>
      <c r="F6" s="3"/>
      <c r="G6" s="3"/>
      <c r="H6" s="2" t="s">
        <v>24</v>
      </c>
      <c r="I6" s="174" t="e">
        <f>(C24+C25)/I28</f>
        <v>#DIV/0!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 t="e">
        <f>C24/I28</f>
        <v>#DIV/0!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262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275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0</v>
      </c>
      <c r="D11" s="264">
        <f>Inputs!D48</f>
        <v>0.9</v>
      </c>
      <c r="E11" s="182">
        <f t="shared" ref="E11:E22" si="0">C11*D11</f>
        <v>0</v>
      </c>
      <c r="F11" s="266"/>
      <c r="G11" s="3"/>
      <c r="H11" s="9" t="s">
        <v>31</v>
      </c>
      <c r="I11" s="181">
        <f>Inputs!C73</f>
        <v>0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0</v>
      </c>
      <c r="J12" s="3"/>
      <c r="K12" s="75"/>
    </row>
    <row r="13" spans="1:11" ht="11.65" x14ac:dyDescent="0.35">
      <c r="B13" s="9" t="s">
        <v>107</v>
      </c>
      <c r="C13" s="181">
        <f>Inputs!C50</f>
        <v>0</v>
      </c>
      <c r="D13" s="264">
        <f>Inputs!D50</f>
        <v>0.6</v>
      </c>
      <c r="E13" s="182">
        <f t="shared" si="0"/>
        <v>0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0</v>
      </c>
      <c r="D14" s="264">
        <f>Inputs!D51</f>
        <v>0.6</v>
      </c>
      <c r="E14" s="182">
        <f t="shared" si="0"/>
        <v>0</v>
      </c>
      <c r="F14" s="266"/>
      <c r="G14" s="3"/>
      <c r="H14" s="8" t="s">
        <v>35</v>
      </c>
      <c r="I14" s="184">
        <f>Inputs!C76</f>
        <v>0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0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0</v>
      </c>
      <c r="D17" s="264">
        <f>Inputs!D54</f>
        <v>0.1</v>
      </c>
      <c r="E17" s="182">
        <f t="shared" si="0"/>
        <v>0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0</v>
      </c>
      <c r="D18" s="264">
        <f>Inputs!D55</f>
        <v>0.5</v>
      </c>
      <c r="E18" s="182">
        <f t="shared" si="0"/>
        <v>0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0</v>
      </c>
      <c r="D22" s="264">
        <f>Inputs!D59</f>
        <v>0.05</v>
      </c>
      <c r="E22" s="182">
        <f t="shared" si="0"/>
        <v>0</v>
      </c>
      <c r="F22" s="266"/>
      <c r="G22" s="3"/>
      <c r="H22" s="9" t="s">
        <v>37</v>
      </c>
      <c r="I22" s="188">
        <f>I28-SUM(I11:I14)</f>
        <v>0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0</v>
      </c>
      <c r="D24" s="191">
        <f>IF(E24=0,0,E24/C24)</f>
        <v>0</v>
      </c>
      <c r="E24" s="182">
        <f>SUM(E11:E14)</f>
        <v>0</v>
      </c>
      <c r="F24" s="192" t="e">
        <f>E24/$E$28</f>
        <v>#DIV/0!</v>
      </c>
      <c r="G24" s="3"/>
    </row>
    <row r="25" spans="2:10" ht="15" customHeight="1" x14ac:dyDescent="0.35">
      <c r="B25" s="189" t="s">
        <v>47</v>
      </c>
      <c r="C25" s="190">
        <f>SUM(C15:C17)</f>
        <v>0</v>
      </c>
      <c r="D25" s="191">
        <f>IF(E25=0,0,E25/C25)</f>
        <v>0</v>
      </c>
      <c r="E25" s="182">
        <f>SUM(E15:E17)</f>
        <v>0</v>
      </c>
      <c r="F25" s="192" t="e">
        <f>E25/$E$28</f>
        <v>#DIV/0!</v>
      </c>
      <c r="G25" s="3"/>
      <c r="H25" s="189" t="s">
        <v>48</v>
      </c>
      <c r="I25" s="174" t="e">
        <f>E28/I28</f>
        <v>#DIV/0!</v>
      </c>
    </row>
    <row r="26" spans="2:10" ht="15" customHeight="1" x14ac:dyDescent="0.35">
      <c r="B26" s="189" t="s">
        <v>49</v>
      </c>
      <c r="C26" s="190">
        <f>C18+C19+C20</f>
        <v>0</v>
      </c>
      <c r="D26" s="191">
        <f>IF(E26=0,0,E26/C26)</f>
        <v>0</v>
      </c>
      <c r="E26" s="182">
        <f>E18+E19+E20</f>
        <v>0</v>
      </c>
      <c r="F26" s="192" t="e">
        <f>E26/$E$28</f>
        <v>#DIV/0!</v>
      </c>
      <c r="G26" s="3"/>
      <c r="H26" s="189" t="s">
        <v>50</v>
      </c>
      <c r="I26" s="174" t="e">
        <f>E24/($I$28-I22)</f>
        <v>#DIV/0!</v>
      </c>
      <c r="J26" s="193" t="e">
        <f>IF(I26&lt;1,"Liquidity Problem!","")</f>
        <v>#DIV/0!</v>
      </c>
    </row>
    <row r="27" spans="2:10" ht="15" customHeight="1" x14ac:dyDescent="0.35">
      <c r="B27" s="189" t="s">
        <v>51</v>
      </c>
      <c r="C27" s="102">
        <f>C21+C22</f>
        <v>0</v>
      </c>
      <c r="D27" s="191">
        <f>IF(E27=0,0,E27/C27)</f>
        <v>0</v>
      </c>
      <c r="E27" s="182">
        <f>E21+E22</f>
        <v>0</v>
      </c>
      <c r="F27" s="192" t="e">
        <f>E27/$E$28</f>
        <v>#DIV/0!</v>
      </c>
      <c r="G27" s="3"/>
      <c r="H27" s="189" t="s">
        <v>52</v>
      </c>
      <c r="I27" s="174" t="e">
        <f>(E25+E24)/$I$28</f>
        <v>#DIV/0!</v>
      </c>
      <c r="J27" s="193" t="e">
        <f>IF(OR(I27&lt;0.75,C28&lt;I28),"Liquidity Issue!","")</f>
        <v>#DIV/0!</v>
      </c>
    </row>
    <row r="28" spans="2:10" ht="15" customHeight="1" x14ac:dyDescent="0.35">
      <c r="B28" s="194" t="s">
        <v>14</v>
      </c>
      <c r="C28" s="195">
        <f>SUM(C11:C22)</f>
        <v>0</v>
      </c>
      <c r="D28" s="196" t="e">
        <f>E28/C28</f>
        <v>#DIV/0!</v>
      </c>
      <c r="E28" s="197">
        <f>SUM(E24:E27)</f>
        <v>0</v>
      </c>
      <c r="F28" s="92"/>
      <c r="G28" s="3"/>
      <c r="H28" s="194" t="s">
        <v>15</v>
      </c>
      <c r="I28" s="167">
        <f>Inputs!C77</f>
        <v>0</v>
      </c>
      <c r="J28" s="198" t="e">
        <f>IF(J26="",1,0)+IF(J27="",1,0)+IF(J46="",1,0)+IF(J47="",1,0)</f>
        <v>#DIV/0!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0</v>
      </c>
      <c r="J30" s="3"/>
    </row>
    <row r="31" spans="2:10" ht="15" customHeight="1" x14ac:dyDescent="0.35">
      <c r="B31" s="9" t="s">
        <v>55</v>
      </c>
      <c r="C31" s="181">
        <f>Inputs!C61</f>
        <v>0</v>
      </c>
      <c r="D31" s="264">
        <f>Inputs!D61</f>
        <v>0.6</v>
      </c>
      <c r="E31" s="182">
        <f t="shared" ref="E31:E42" si="1">C31*D31</f>
        <v>0</v>
      </c>
      <c r="F31" s="266"/>
      <c r="G31" s="3"/>
      <c r="H31" s="9" t="s">
        <v>56</v>
      </c>
      <c r="I31" s="181">
        <f>Inputs!C79</f>
        <v>0</v>
      </c>
      <c r="J31" s="3"/>
    </row>
    <row r="32" spans="2:10" ht="15" customHeight="1" x14ac:dyDescent="0.35">
      <c r="B32" s="9" t="s">
        <v>57</v>
      </c>
      <c r="C32" s="181">
        <f>Inputs!C62</f>
        <v>0</v>
      </c>
      <c r="D32" s="264">
        <f>Inputs!D62</f>
        <v>0.5</v>
      </c>
      <c r="E32" s="182">
        <f t="shared" si="1"/>
        <v>0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0</v>
      </c>
      <c r="D34" s="264">
        <f>Inputs!D64</f>
        <v>0.4</v>
      </c>
      <c r="E34" s="182">
        <f t="shared" si="1"/>
        <v>0</v>
      </c>
      <c r="F34" s="266"/>
      <c r="G34" s="3"/>
      <c r="H34" s="2" t="s">
        <v>70</v>
      </c>
      <c r="I34" s="186">
        <f>SUM(I30:I33)</f>
        <v>0</v>
      </c>
      <c r="J34" s="3"/>
    </row>
    <row r="35" spans="2:10" ht="11.65" x14ac:dyDescent="0.35">
      <c r="B35" s="9" t="s">
        <v>62</v>
      </c>
      <c r="C35" s="181">
        <f>Inputs!C65</f>
        <v>0</v>
      </c>
      <c r="D35" s="264">
        <f>Inputs!D65</f>
        <v>0.1</v>
      </c>
      <c r="E35" s="182">
        <f t="shared" si="1"/>
        <v>0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0</v>
      </c>
      <c r="D36" s="264">
        <f>Inputs!D66</f>
        <v>0.2</v>
      </c>
      <c r="E36" s="182">
        <f t="shared" si="1"/>
        <v>0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0</v>
      </c>
      <c r="D37" s="264">
        <f>Inputs!D67</f>
        <v>0.1</v>
      </c>
      <c r="E37" s="182">
        <f t="shared" si="1"/>
        <v>0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0</v>
      </c>
      <c r="D38" s="264">
        <f>Inputs!D68</f>
        <v>0.1</v>
      </c>
      <c r="E38" s="182">
        <f t="shared" si="1"/>
        <v>0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0</v>
      </c>
      <c r="D40" s="264">
        <f>Inputs!D70</f>
        <v>0.05</v>
      </c>
      <c r="E40" s="182">
        <f t="shared" si="1"/>
        <v>0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0</v>
      </c>
      <c r="D41" s="264">
        <f>Inputs!D71</f>
        <v>0.9</v>
      </c>
      <c r="E41" s="182">
        <f t="shared" si="1"/>
        <v>0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0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0</v>
      </c>
      <c r="D44" s="191">
        <f>IF(E44=0,0,E44/C44)</f>
        <v>0</v>
      </c>
      <c r="E44" s="182">
        <f>SUM(E30:E31)</f>
        <v>0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0</v>
      </c>
      <c r="D45" s="191">
        <f>IF(E45=0,0,E45/C45)</f>
        <v>0</v>
      </c>
      <c r="E45" s="182">
        <f>SUM(E32:E35)</f>
        <v>0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0</v>
      </c>
      <c r="D46" s="191">
        <f>IF(E46=0,0,E46/C46)</f>
        <v>0</v>
      </c>
      <c r="E46" s="182">
        <f>E36+E37+E38+E39</f>
        <v>0</v>
      </c>
      <c r="F46" s="3"/>
      <c r="G46" s="3"/>
      <c r="H46" s="189" t="s">
        <v>73</v>
      </c>
      <c r="I46" s="174" t="e">
        <f>(E44+E24)/E64</f>
        <v>#DIV/0!</v>
      </c>
      <c r="J46" s="193" t="e">
        <f>IF(I46&lt;1,"Liquidity Problem!","")</f>
        <v>#DIV/0!</v>
      </c>
    </row>
    <row r="47" spans="2:10" ht="15" customHeight="1" x14ac:dyDescent="0.35">
      <c r="B47" s="189" t="s">
        <v>74</v>
      </c>
      <c r="C47" s="190">
        <f>C40+C41+C42</f>
        <v>0</v>
      </c>
      <c r="D47" s="191">
        <f>IF(E47=0,0,E47/C47)</f>
        <v>0</v>
      </c>
      <c r="E47" s="182">
        <f>E40+E41+E42</f>
        <v>0</v>
      </c>
      <c r="F47" s="3"/>
      <c r="G47" s="3"/>
      <c r="H47" s="189" t="s">
        <v>75</v>
      </c>
      <c r="I47" s="174" t="e">
        <f>(E44+E45+E24+E25)/$I$49</f>
        <v>#DIV/0!</v>
      </c>
      <c r="J47" s="193" t="e">
        <f>IF(OR(I47&lt;0.5,C49&lt;I49),"Liquidity Issue!","")</f>
        <v>#DIV/0!</v>
      </c>
    </row>
    <row r="48" spans="2:10" ht="15" customHeight="1" thickBot="1" x14ac:dyDescent="0.4">
      <c r="B48" s="96" t="s">
        <v>76</v>
      </c>
      <c r="C48" s="200">
        <f>SUM(C30:C42)</f>
        <v>0</v>
      </c>
      <c r="D48" s="201" t="e">
        <f>E48/C48</f>
        <v>#DIV/0!</v>
      </c>
      <c r="E48" s="202">
        <f>SUM(E30:E42)</f>
        <v>0</v>
      </c>
      <c r="F48" s="3"/>
      <c r="G48" s="3"/>
      <c r="H48" s="96" t="s">
        <v>77</v>
      </c>
      <c r="I48" s="203">
        <f>I49-I28</f>
        <v>0</v>
      </c>
      <c r="J48" s="193"/>
    </row>
    <row r="49" spans="2:11" ht="15" customHeight="1" thickTop="1" x14ac:dyDescent="0.35">
      <c r="B49" s="9" t="s">
        <v>13</v>
      </c>
      <c r="C49" s="190">
        <f>Inputs!C41+Inputs!C37</f>
        <v>0</v>
      </c>
      <c r="D49" s="176" t="e">
        <f>E49/C49</f>
        <v>#DIV/0!</v>
      </c>
      <c r="E49" s="182">
        <f>E28+E48</f>
        <v>0</v>
      </c>
      <c r="F49" s="3"/>
      <c r="G49" s="3"/>
      <c r="H49" s="9" t="s">
        <v>78</v>
      </c>
      <c r="I49" s="181">
        <f>Inputs!C37</f>
        <v>0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261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0</v>
      </c>
      <c r="D53" s="34">
        <f>IF(E53=0, 0,E53/C53)</f>
        <v>0</v>
      </c>
      <c r="E53" s="182">
        <f>IF(C53=0,0,MAX(C53,C53*Dashboard!G23))</f>
        <v>0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0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254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0</v>
      </c>
      <c r="D61" s="176">
        <f t="shared" ref="D61:D70" si="2">IF(E61=0,0,E61/C61)</f>
        <v>0</v>
      </c>
      <c r="E61" s="188">
        <f>E14+E15+(E19*G19)+(E20*G20)+E31+E32+(E35*G35)+(E36*G36)+(E37*G37)</f>
        <v>0</v>
      </c>
      <c r="F61" s="3"/>
      <c r="G61" s="3"/>
      <c r="H61" s="2" t="s">
        <v>255</v>
      </c>
      <c r="I61" s="209">
        <f>C99*Data!$C$4/Common_Shares</f>
        <v>0</v>
      </c>
      <c r="K61" s="178"/>
    </row>
    <row r="62" spans="2:11" ht="11.65" x14ac:dyDescent="0.35">
      <c r="B62" s="12" t="s">
        <v>129</v>
      </c>
      <c r="C62" s="210">
        <f>C11+C30</f>
        <v>0</v>
      </c>
      <c r="D62" s="211">
        <f t="shared" si="2"/>
        <v>0</v>
      </c>
      <c r="E62" s="212">
        <f>E11+E30</f>
        <v>0</v>
      </c>
      <c r="F62" s="3"/>
      <c r="G62" s="3"/>
      <c r="H62" s="2" t="s">
        <v>277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0</v>
      </c>
      <c r="D63" s="34">
        <f t="shared" si="2"/>
        <v>0</v>
      </c>
      <c r="E63" s="190">
        <f>E61+E62</f>
        <v>0</v>
      </c>
      <c r="F63" s="3"/>
      <c r="G63" s="3"/>
      <c r="H63" s="2" t="s">
        <v>256</v>
      </c>
      <c r="I63" s="213">
        <f>IF(I61&gt;0,FV(I62,D93,0,-I61),I61)</f>
        <v>0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0</v>
      </c>
      <c r="F64" s="3"/>
      <c r="G64" s="3"/>
      <c r="H64" s="2" t="s">
        <v>257</v>
      </c>
      <c r="I64" s="213">
        <f>IF(I61&gt;0,PV(C94,D93,0,-I63),I61)</f>
        <v>0</v>
      </c>
      <c r="K64" s="178"/>
    </row>
    <row r="65" spans="1:11" ht="12" thickTop="1" x14ac:dyDescent="0.35">
      <c r="B65" s="9" t="s">
        <v>132</v>
      </c>
      <c r="C65" s="208">
        <f>C63-E64</f>
        <v>0</v>
      </c>
      <c r="D65" s="34">
        <f t="shared" si="2"/>
        <v>0</v>
      </c>
      <c r="E65" s="190">
        <f>E63-E64</f>
        <v>0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0</v>
      </c>
      <c r="D68" s="34">
        <f t="shared" si="2"/>
        <v>0</v>
      </c>
      <c r="E68" s="208">
        <f>E49-E63</f>
        <v>0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0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0</v>
      </c>
      <c r="D70" s="34">
        <f t="shared" si="2"/>
        <v>0</v>
      </c>
      <c r="E70" s="208">
        <f>E68-E69</f>
        <v>0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1318408</v>
      </c>
      <c r="D74" s="103"/>
      <c r="E74" s="262">
        <f>Inputs!E91</f>
        <v>1318408</v>
      </c>
      <c r="F74" s="103"/>
      <c r="H74" s="262">
        <f>Inputs!F91</f>
        <v>1318408</v>
      </c>
      <c r="I74" s="103"/>
      <c r="K74" s="75"/>
    </row>
    <row r="75" spans="1:11" ht="15" customHeight="1" x14ac:dyDescent="0.35">
      <c r="B75" s="105" t="s">
        <v>97</v>
      </c>
      <c r="C75" s="102">
        <f>Data!C8</f>
        <v>150324</v>
      </c>
      <c r="D75" s="106">
        <f>C75/$C$74</f>
        <v>0.11401933240696355</v>
      </c>
      <c r="E75" s="262">
        <f>Inputs!E92</f>
        <v>150324</v>
      </c>
      <c r="F75" s="217">
        <f>E75/E74</f>
        <v>0.11401933240696355</v>
      </c>
      <c r="H75" s="262">
        <f>Inputs!F92</f>
        <v>150324</v>
      </c>
      <c r="I75" s="217">
        <f>H75/$H$74</f>
        <v>0.11401933240696355</v>
      </c>
      <c r="K75" s="75"/>
    </row>
    <row r="76" spans="1:11" ht="15" customHeight="1" x14ac:dyDescent="0.35">
      <c r="B76" s="12" t="s">
        <v>87</v>
      </c>
      <c r="C76" s="150">
        <f>C74-C75</f>
        <v>1168084</v>
      </c>
      <c r="D76" s="218"/>
      <c r="E76" s="219">
        <f>E74-E75</f>
        <v>1168084</v>
      </c>
      <c r="F76" s="218"/>
      <c r="H76" s="219">
        <f>H74-H75</f>
        <v>1168084</v>
      </c>
      <c r="I76" s="218"/>
      <c r="K76" s="75"/>
    </row>
    <row r="77" spans="1:11" ht="15" customHeight="1" x14ac:dyDescent="0.35">
      <c r="B77" s="105" t="s">
        <v>217</v>
      </c>
      <c r="C77" s="102">
        <f>Data!C10+MAX(Data!C11,0)</f>
        <v>252305</v>
      </c>
      <c r="D77" s="106">
        <f>C77/$C$74</f>
        <v>0.19137095648691452</v>
      </c>
      <c r="E77" s="262">
        <f>Inputs!E93</f>
        <v>252305</v>
      </c>
      <c r="F77" s="217">
        <f>E77/E74</f>
        <v>0.19137095648691452</v>
      </c>
      <c r="H77" s="262">
        <f>Inputs!F93</f>
        <v>252305</v>
      </c>
      <c r="I77" s="217">
        <f>H77/$H$74</f>
        <v>0.19137095648691452</v>
      </c>
      <c r="K77" s="75"/>
    </row>
    <row r="78" spans="1:11" ht="15" customHeight="1" x14ac:dyDescent="0.35">
      <c r="B78" s="98" t="s">
        <v>152</v>
      </c>
      <c r="C78" s="102">
        <f>MAX(Data!C12,0)</f>
        <v>618.66666666666663</v>
      </c>
      <c r="D78" s="106">
        <f>C78/$C$74</f>
        <v>4.6925281602255647E-4</v>
      </c>
      <c r="E78" s="220">
        <f>E74*F78</f>
        <v>618.66666666666663</v>
      </c>
      <c r="F78" s="217">
        <f>I78</f>
        <v>4.6925281602255647E-4</v>
      </c>
      <c r="H78" s="262">
        <f>Inputs!F97</f>
        <v>618.66666666666663</v>
      </c>
      <c r="I78" s="217">
        <f>H78/$H$74</f>
        <v>4.6925281602255647E-4</v>
      </c>
      <c r="K78" s="75"/>
    </row>
    <row r="79" spans="1:11" ht="15" customHeight="1" x14ac:dyDescent="0.35">
      <c r="B79" s="221" t="s">
        <v>205</v>
      </c>
      <c r="C79" s="222">
        <f>C76-C77-C78</f>
        <v>915160.33333333337</v>
      </c>
      <c r="D79" s="223">
        <f>C79/C74</f>
        <v>0.6941404582900994</v>
      </c>
      <c r="E79" s="224">
        <f>E76-E77-E78</f>
        <v>915160.33333333337</v>
      </c>
      <c r="F79" s="223">
        <f>E79/E74</f>
        <v>0.6941404582900994</v>
      </c>
      <c r="G79" s="225"/>
      <c r="H79" s="224">
        <f>H76-H77-H78</f>
        <v>915160.33333333337</v>
      </c>
      <c r="I79" s="223">
        <f>H79/H74</f>
        <v>0.6941404582900994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223</v>
      </c>
      <c r="C81" s="102">
        <f>MAX(Data!C17,0)</f>
        <v>651948</v>
      </c>
      <c r="D81" s="106">
        <f>C81/$C$74</f>
        <v>0.49449639261897682</v>
      </c>
      <c r="E81" s="220">
        <f>E74*F81</f>
        <v>651948</v>
      </c>
      <c r="F81" s="217">
        <f>I81</f>
        <v>0.49449639261897682</v>
      </c>
      <c r="H81" s="262">
        <f>Inputs!F94</f>
        <v>651948</v>
      </c>
      <c r="I81" s="217">
        <f>H81/$H$74</f>
        <v>0.49449639261897682</v>
      </c>
      <c r="K81" s="75"/>
    </row>
    <row r="82" spans="1:11" ht="15" customHeight="1" x14ac:dyDescent="0.35">
      <c r="B82" s="18" t="s">
        <v>216</v>
      </c>
      <c r="C82" s="102">
        <f>ABS(MAX(Data!C21,0)-MAX(Data!C19,0))</f>
        <v>0</v>
      </c>
      <c r="D82" s="106">
        <f>C82/$C$74</f>
        <v>0</v>
      </c>
      <c r="E82" s="262">
        <f>Inputs!E95</f>
        <v>0</v>
      </c>
      <c r="F82" s="217">
        <f>E82/E74</f>
        <v>0</v>
      </c>
      <c r="H82" s="262">
        <f>Inputs!F95</f>
        <v>0</v>
      </c>
      <c r="I82" s="217">
        <f>H82/$H$74</f>
        <v>0</v>
      </c>
      <c r="K82" s="75"/>
    </row>
    <row r="83" spans="1:11" ht="15" customHeight="1" thickBot="1" x14ac:dyDescent="0.4">
      <c r="B83" s="227" t="s">
        <v>115</v>
      </c>
      <c r="C83" s="228">
        <f>C79-C81-C82-C80</f>
        <v>263212.33333333337</v>
      </c>
      <c r="D83" s="229">
        <f>C83/$C$74</f>
        <v>0.19964406567112258</v>
      </c>
      <c r="E83" s="230">
        <f>E79-E81-E82-E80</f>
        <v>263212.33333333337</v>
      </c>
      <c r="F83" s="229">
        <f>E83/E74</f>
        <v>0.19964406567112258</v>
      </c>
      <c r="H83" s="230">
        <f>H79-H81-H82-H80</f>
        <v>263212.33333333337</v>
      </c>
      <c r="I83" s="229">
        <f>H83/$H$74</f>
        <v>0.19964406567112258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197409.25000000003</v>
      </c>
      <c r="D85" s="223">
        <f>C85/$C$74</f>
        <v>0.14973304925334194</v>
      </c>
      <c r="E85" s="235">
        <f>E83*(1-F84)</f>
        <v>197409.25000000003</v>
      </c>
      <c r="F85" s="223">
        <f>E85/E74</f>
        <v>0.14973304925334194</v>
      </c>
      <c r="G85" s="225"/>
      <c r="H85" s="235">
        <f>H83*(1-I84)</f>
        <v>197409.25000000003</v>
      </c>
      <c r="I85" s="223">
        <f>H85/$H$74</f>
        <v>0.14973304925334194</v>
      </c>
      <c r="K85" s="75"/>
    </row>
    <row r="86" spans="1:11" ht="15" customHeight="1" x14ac:dyDescent="0.35">
      <c r="B86" s="3" t="s">
        <v>145</v>
      </c>
      <c r="C86" s="236">
        <f>C85*Data!C4/Common_Shares</f>
        <v>0.5640537708797474</v>
      </c>
      <c r="D86" s="103"/>
      <c r="E86" s="237">
        <f>E85*Data!C4/Common_Shares</f>
        <v>0.5640537708797474</v>
      </c>
      <c r="F86" s="103"/>
      <c r="H86" s="237">
        <f>H85*Data!C4/Common_Shares</f>
        <v>0.5640537708797474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0.13545392708720738</v>
      </c>
      <c r="D87" s="103"/>
      <c r="E87" s="239">
        <f>E86*Exchange_Rate/Dashboard!G3</f>
        <v>0.13545392708720738</v>
      </c>
      <c r="F87" s="103"/>
      <c r="H87" s="239">
        <f>H86*Exchange_Rate/Dashboard!G3</f>
        <v>0.13545392708720738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0.3473</v>
      </c>
      <c r="D88" s="241">
        <f>C88/C86</f>
        <v>0.61572143992286532</v>
      </c>
      <c r="E88" s="261">
        <f>Inputs!E98</f>
        <v>0.23089999999999999</v>
      </c>
      <c r="F88" s="241">
        <f>E88/E86</f>
        <v>0.40935813555482176</v>
      </c>
      <c r="H88" s="261">
        <f>Inputs!F98</f>
        <v>0.23089999999999999</v>
      </c>
      <c r="I88" s="241">
        <f>H88/H86</f>
        <v>0.40935813555482176</v>
      </c>
      <c r="K88" s="75"/>
    </row>
    <row r="89" spans="1:11" ht="15" customHeight="1" x14ac:dyDescent="0.35">
      <c r="B89" s="3" t="s">
        <v>195</v>
      </c>
      <c r="C89" s="238">
        <f>C88*Exchange_Rate/Dashboard!G3</f>
        <v>8.3401887029342134E-2</v>
      </c>
      <c r="D89" s="103"/>
      <c r="E89" s="238">
        <f>E88*Exchange_Rate/Dashboard!G3</f>
        <v>5.5449167045997984E-2</v>
      </c>
      <c r="F89" s="103"/>
      <c r="H89" s="238">
        <f>H88*Exchange_Rate/Dashboard!G3</f>
        <v>5.5449167045997984E-2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271</v>
      </c>
      <c r="C92" s="264" t="str">
        <f>Inputs!C15</f>
        <v>CN</v>
      </c>
      <c r="D92" s="88" t="s">
        <v>272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8.0500000000000002E-2</v>
      </c>
      <c r="D93" s="259">
        <f>Dashboard!H20</f>
        <v>5</v>
      </c>
      <c r="E93" s="3" t="s">
        <v>184</v>
      </c>
      <c r="F93" s="243">
        <f>FV(E87,D93,0,-(E86/(C93-D94)))*Exchange_Rate</f>
        <v>18.719210831485871</v>
      </c>
      <c r="H93" s="3" t="s">
        <v>184</v>
      </c>
      <c r="I93" s="243">
        <f>FV(H87,D93,0,-(H86/(C93-D94)))*Exchange_Rate</f>
        <v>18.719210831485871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5.3177753381332806</v>
      </c>
      <c r="H94" s="3" t="s">
        <v>185</v>
      </c>
      <c r="I94" s="243">
        <f>FV(H89,D93,0,-(H88/(C93-D94)))*Exchange_Rate</f>
        <v>5.3177753381332806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3257206.7453890508</v>
      </c>
      <c r="D97" s="250"/>
      <c r="E97" s="251">
        <f>PV(C94,D93,0,-F93)</f>
        <v>9.306756128558531</v>
      </c>
      <c r="F97" s="250"/>
      <c r="H97" s="251">
        <f>PV(C94,D93,0,-I93)</f>
        <v>9.306756128558531</v>
      </c>
      <c r="I97" s="251">
        <f>PV(C93,D93,0,-I93)</f>
        <v>12.710530573472209</v>
      </c>
      <c r="K97" s="75"/>
    </row>
    <row r="98" spans="2:11" ht="15" customHeight="1" x14ac:dyDescent="0.35">
      <c r="B98" s="18" t="s">
        <v>134</v>
      </c>
      <c r="C98" s="249">
        <f>-E53*Exchange_Rate</f>
        <v>0</v>
      </c>
      <c r="D98" s="250"/>
      <c r="E98" s="250"/>
      <c r="F98" s="250"/>
      <c r="H98" s="251">
        <f>C98*Data!$C$4/Common_Shares</f>
        <v>0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0</v>
      </c>
      <c r="D99" s="254"/>
      <c r="E99" s="255">
        <f>IF(H99&gt;0,I64,H99)</f>
        <v>0</v>
      </c>
      <c r="F99" s="254"/>
      <c r="H99" s="255">
        <f>I64</f>
        <v>0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7.9107427092747509</v>
      </c>
      <c r="E100" s="257">
        <f>MAX(E97+H98+E99,0)</f>
        <v>9.306756128558531</v>
      </c>
      <c r="F100" s="257">
        <f>(E100+H100)/2</f>
        <v>9.306756128558531</v>
      </c>
      <c r="H100" s="257">
        <f>MAX(H97+H98+H99,0)</f>
        <v>9.306756128558531</v>
      </c>
      <c r="I100" s="257">
        <f>MAX(I97+H98+H99,0)</f>
        <v>12.710530573472209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273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2.2472930544134346</v>
      </c>
      <c r="E103" s="251">
        <f>PV(C94,D93,0,-F94)</f>
        <v>2.6438741816628641</v>
      </c>
      <c r="F103" s="257">
        <f>(E103+H103)/2</f>
        <v>2.6438741816628641</v>
      </c>
      <c r="H103" s="251">
        <f>PV(C94,D93,0,-I94)</f>
        <v>2.6438741816628641</v>
      </c>
      <c r="I103" s="257">
        <f>PV(C93,D93,0,-I94)</f>
        <v>3.6108224126900526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5.0790178818440932</v>
      </c>
      <c r="E106" s="251">
        <f>(E100+E103)/2</f>
        <v>5.9753151551106978</v>
      </c>
      <c r="F106" s="257">
        <f>(F100+F103)/2</f>
        <v>5.9753151551106978</v>
      </c>
      <c r="H106" s="251">
        <f>(H100+H103)/2</f>
        <v>5.9753151551106978</v>
      </c>
      <c r="I106" s="251">
        <f>(I100+I103)/2</f>
        <v>8.1606764930811302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274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266</v>
      </c>
      <c r="C2" s="1"/>
    </row>
    <row r="3" spans="2:3" x14ac:dyDescent="0.35">
      <c r="B3" s="62"/>
      <c r="C3" s="62"/>
    </row>
    <row r="4" spans="2:3" x14ac:dyDescent="0.35">
      <c r="B4" s="60" t="s">
        <v>264</v>
      </c>
      <c r="C4" s="61" t="s">
        <v>265</v>
      </c>
    </row>
    <row r="5" spans="2:3" x14ac:dyDescent="0.35">
      <c r="B5" s="60"/>
      <c r="C5" s="61"/>
    </row>
    <row r="6" spans="2:3" x14ac:dyDescent="0.35">
      <c r="B6" s="63" t="s">
        <v>267</v>
      </c>
      <c r="C6" s="64" t="s">
        <v>268</v>
      </c>
    </row>
    <row r="7" spans="2:3" x14ac:dyDescent="0.35">
      <c r="B7" s="63"/>
      <c r="C7" s="64"/>
    </row>
    <row r="8" spans="2:3" x14ac:dyDescent="0.35">
      <c r="B8" s="298"/>
      <c r="C8" s="65" t="s">
        <v>269</v>
      </c>
    </row>
    <row r="10" spans="2:3" x14ac:dyDescent="0.35">
      <c r="B10" s="291" t="s">
        <v>270</v>
      </c>
    </row>
    <row r="11" spans="2:3" x14ac:dyDescent="0.35">
      <c r="B11" s="292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2024-12-27T08:07:54Z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