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74B203-EFA5-4A1C-8B5F-F901E6D4722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6" i="4" l="1"/>
  <c r="E92" i="4"/>
  <c r="F92" i="4"/>
  <c r="E95" i="4"/>
  <c r="D56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<sst xmlns="http://schemas.openxmlformats.org/spreadsheetml/2006/main" count="403" uniqueCount="288">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</sst>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45591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1462217799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3682.4</v>
      </c>
      <c r="D25" s="80">
        <v>2879.6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1499.6</v>
      </c>
      <c r="D26" s="82">
        <v>1274.2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1519.3</v>
      </c>
      <c r="D27" s="82">
        <v>1185.2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173</v>
      </c>
      <c r="D29" s="82">
        <v>138.30000000000001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33.299999999999997</v>
      </c>
      <c r="D30" s="82">
        <v>25.6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0.1026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3.6798156976149216E-2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815.5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346.1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95.8</v>
      </c>
      <c r="D54" s="114">
        <v>0.1</v>
      </c>
      <c r="E54" s="266"/>
    </row>
    <row r="55" spans="2:5" x14ac:dyDescent="0.35">
      <c r="B55" s="9" t="s">
        <v>39</v>
      </c>
      <c r="C55" s="91">
        <v>637.70000000000005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701.8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1525.3</v>
      </c>
      <c r="D70" s="114">
        <v>0.05</v>
      </c>
      <c r="E70" s="266"/>
    </row>
    <row r="71" spans="2:5" x14ac:dyDescent="0.35">
      <c r="B71" s="9" t="s">
        <v>67</v>
      </c>
      <c r="C71" s="91">
        <v>169.3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949.6</v>
      </c>
      <c r="D72" s="116">
        <v>0</v>
      </c>
      <c r="E72" s="268"/>
    </row>
    <row r="73" spans="2:5" x14ac:dyDescent="0.35">
      <c r="B73" s="9" t="s">
        <v>31</v>
      </c>
      <c r="C73" s="91">
        <v>92.8</v>
      </c>
    </row>
    <row r="74" spans="2:5" x14ac:dyDescent="0.35">
      <c r="B74" s="9" t="s">
        <v>32</v>
      </c>
      <c r="C74" s="91">
        <v>126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1180.4000000000001</v>
      </c>
    </row>
    <row r="78" spans="2:5" ht="12" thickTop="1" x14ac:dyDescent="0.35">
      <c r="B78" s="9" t="s">
        <v>54</v>
      </c>
      <c r="C78" s="91">
        <v>1721</v>
      </c>
    </row>
    <row r="79" spans="2:5" x14ac:dyDescent="0.35">
      <c r="B79" s="9" t="s">
        <v>56</v>
      </c>
      <c r="C79" s="91">
        <v>392.6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121.2</v>
      </c>
    </row>
    <row r="82" spans="2:8" ht="12" hidden="1" thickBot="1" x14ac:dyDescent="0.4">
      <c r="B82" s="96" t="s">
        <v>249</v>
      </c>
      <c r="C82" s="84">
        <v>2453.6999999999998</v>
      </c>
    </row>
    <row r="83" spans="2:8" ht="12" hidden="1" thickTop="1" x14ac:dyDescent="0.35">
      <c r="B83" s="98" t="s">
        <v>250</v>
      </c>
      <c r="C83" s="84">
        <v>1478.9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3682.4</v>
      </c>
      <c r="D91" s="103"/>
      <c r="E91" s="104">
        <f>C91</f>
        <v>3682.4</v>
      </c>
      <c r="F91" s="104">
        <f>C91</f>
        <v>3682.4</v>
      </c>
    </row>
    <row r="92" spans="2:8" x14ac:dyDescent="0.35">
      <c r="B92" s="105" t="s">
        <v>97</v>
      </c>
      <c r="C92" s="102">
        <f>C26</f>
        <v>1499.6</v>
      </c>
      <c r="D92" s="106">
        <f>C92/C91</f>
        <v>0.40723441233977836</v>
      </c>
      <c r="E92" s="107">
        <f>E91*D92</f>
        <v>1499.6</v>
      </c>
      <c r="F92" s="107">
        <f>F91*D92</f>
        <v>1499.6</v>
      </c>
    </row>
    <row r="93" spans="2:8" x14ac:dyDescent="0.35">
      <c r="B93" s="105" t="s">
        <v>218</v>
      </c>
      <c r="C93" s="102">
        <f>C27+C28</f>
        <v>1519.3</v>
      </c>
      <c r="D93" s="106">
        <f>C93/C91</f>
        <v>0.41258418422767756</v>
      </c>
      <c r="E93" s="107">
        <f>E91*D93</f>
        <v>1519.3</v>
      </c>
      <c r="F93" s="107">
        <f>F91*D93</f>
        <v>1519.3</v>
      </c>
    </row>
    <row r="94" spans="2:8" x14ac:dyDescent="0.35">
      <c r="B94" s="105" t="s">
        <v>224</v>
      </c>
      <c r="C94" s="102">
        <f>C29</f>
        <v>173</v>
      </c>
      <c r="D94" s="106">
        <f>C94/C91</f>
        <v>4.6980230284597004E-2</v>
      </c>
      <c r="E94" s="108"/>
      <c r="F94" s="107">
        <f>F91*D94</f>
        <v>173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44.4</v>
      </c>
      <c r="D97" s="106">
        <f>C97/C91</f>
        <v>1.2057353899630675E-2</v>
      </c>
      <c r="E97" s="108"/>
      <c r="F97" s="107">
        <f>F91*D97</f>
        <v>44.4</v>
      </c>
    </row>
    <row r="98" spans="2:6" x14ac:dyDescent="0.35">
      <c r="B98" s="8" t="s">
        <v>182</v>
      </c>
      <c r="C98" s="109">
        <f>C44</f>
        <v>0.1026</v>
      </c>
      <c r="D98" s="110"/>
      <c r="E98" s="111">
        <f>F98</f>
        <v>0.1026</v>
      </c>
      <c r="F98" s="111">
        <f>C98</f>
        <v>0.1026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1910.HK</v>
      </c>
      <c r="D3" s="317"/>
      <c r="E3" s="3"/>
      <c r="F3" s="9" t="s">
        <v>1</v>
      </c>
      <c r="G3" s="10">
        <v>21.65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SAMSONITE</v>
      </c>
      <c r="D4" s="318"/>
      <c r="E4" s="3"/>
      <c r="F4" s="9" t="s">
        <v>2</v>
      </c>
      <c r="G4" s="321">
        <f>Inputs!C10</f>
        <v>1462217799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45591</v>
      </c>
      <c r="D5" s="320"/>
      <c r="E5" s="16"/>
      <c r="F5" s="12" t="s">
        <v>91</v>
      </c>
      <c r="G5" s="314">
        <f>G3*G4/1000000</f>
        <v>31657.01534835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4.6980230284597004E-2</v>
      </c>
      <c r="F24" s="39" t="s">
        <v>226</v>
      </c>
      <c r="G24" s="43">
        <f>G3/(Fin_Analysis!H86*G7)</f>
        <v>12.185402315919433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0.44840034723873545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3.6798156976149216E-2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12.397475385776225</v>
      </c>
      <c r="D29" s="54">
        <f>G29*(1+G20)</f>
        <v>27.666626150164522</v>
      </c>
      <c r="E29" s="3"/>
      <c r="F29" s="55">
        <f>IF(Fin_Analysis!C108="Profit",Fin_Analysis!F100,IF(Fin_Analysis!C108="Dividend",Fin_Analysis!F103,Fin_Analysis!F106))</f>
        <v>14.585265159736736</v>
      </c>
      <c r="G29" s="313">
        <f>IF(Fin_Analysis!C108="Profit",Fin_Analysis!I100,IF(Fin_Analysis!C108="Dividend",Fin_Analysis!I103,Fin_Analysis!I106))</f>
        <v>24.057935782751759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619.10000000000025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3682.4</v>
      </c>
      <c r="D6" s="147">
        <f>IF(Inputs!D25="","",Inputs!D25)</f>
        <v>2879.6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0.27878872065564675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1499.6</v>
      </c>
      <c r="D8" s="149">
        <f>IF(Inputs!D26="","",Inputs!D26)</f>
        <v>1274.2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2182.8000000000002</v>
      </c>
      <c r="D9" s="279">
        <f t="shared" si="2"/>
        <v>1605.3999999999999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1519.3</v>
      </c>
      <c r="D10" s="149">
        <f>IF(Inputs!D27="","",Inputs!D27)</f>
        <v>1185.2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44.4</v>
      </c>
      <c r="D12" s="149">
        <f>IF(Inputs!D30="","",MAX(Inputs!D30,0)/(1-Fin_Analysis!$I$84))</f>
        <v>34.133333333333333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0.16812404953291338</v>
      </c>
      <c r="D13" s="300">
        <f t="shared" si="3"/>
        <v>0.13406954669630036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619.10000000000025</v>
      </c>
      <c r="D14" s="302">
        <f t="shared" ref="D14:M14" si="4">IF(D6="","",D9-D10-MAX(D11,0)-MAX(D12,0))</f>
        <v>386.06666666666649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0.60360904852357244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173</v>
      </c>
      <c r="D17" s="149">
        <f>IF(Inputs!D29="","",Inputs!D29)</f>
        <v>138.30000000000001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446.10000000000025</v>
      </c>
      <c r="D22" s="283">
        <f t="shared" ref="D22:M22" si="8">IF(D6="","",D14-MAX(D16,0)-MAX(D17,0)-ABS(MAX(D21,0)-MAX(D19,0)))</f>
        <v>247.76666666666648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9.0857864436237279E-2</v>
      </c>
      <c r="D23" s="148">
        <f t="shared" si="9"/>
        <v>6.4531532157244026E-2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334.57500000000016</v>
      </c>
      <c r="D24" s="282">
        <f>IF(D6="","",D22*(1-Fin_Analysis!$I$84))</f>
        <v>185.82499999999987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0.80048432665142144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346.1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637.70000000000005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218.8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2234.7999999999997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2453.6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-815.5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0.40723441233977836</v>
      </c>
      <c r="D40" s="156">
        <f t="shared" si="34"/>
        <v>0.44249201277955275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0.12114381924831638</v>
      </c>
      <c r="D46" s="289">
        <f t="shared" si="40"/>
        <v>8.6042042876325359E-2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0.18181447668731671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1568.855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8.3311959211191056</v>
      </c>
      <c r="E7" s="173" t="str">
        <f>Dashboard!H3</f>
        <v>HKD</v>
      </c>
      <c r="H7" s="2" t="s">
        <v>25</v>
      </c>
      <c r="I7" s="174">
        <f>C24/I28</f>
        <v>0.98407319552693984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815.5</v>
      </c>
      <c r="D11" s="264">
        <f>Inputs!D48</f>
        <v>0.9</v>
      </c>
      <c r="E11" s="182">
        <f t="shared" ref="E11:E22" si="0">C11*D11</f>
        <v>733.95</v>
      </c>
      <c r="F11" s="266"/>
      <c r="G11" s="3"/>
      <c r="H11" s="9" t="s">
        <v>31</v>
      </c>
      <c r="I11" s="181">
        <f>Inputs!C73</f>
        <v>92.8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126</v>
      </c>
      <c r="J12" s="3"/>
      <c r="K12" s="75"/>
    </row>
    <row r="13" spans="1:11" ht="11.65" x14ac:dyDescent="0.35">
      <c r="B13" s="9" t="s">
        <v>107</v>
      </c>
      <c r="C13" s="181">
        <f>Inputs!C50</f>
        <v>346.1</v>
      </c>
      <c r="D13" s="264">
        <f>Inputs!D50</f>
        <v>0.6</v>
      </c>
      <c r="E13" s="182">
        <f t="shared" si="0"/>
        <v>207.66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218.8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95.8</v>
      </c>
      <c r="D17" s="264">
        <f>Inputs!D54</f>
        <v>0.1</v>
      </c>
      <c r="E17" s="182">
        <f t="shared" si="0"/>
        <v>9.58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637.70000000000005</v>
      </c>
      <c r="D18" s="264">
        <f>Inputs!D55</f>
        <v>0.5</v>
      </c>
      <c r="E18" s="182">
        <f t="shared" si="0"/>
        <v>318.85000000000002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961.60000000000014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1161.5999999999999</v>
      </c>
      <c r="D24" s="191">
        <f>IF(E24=0,0,E24/C24)</f>
        <v>0.81061466942148763</v>
      </c>
      <c r="E24" s="182">
        <f>SUM(E11:E14)</f>
        <v>941.61</v>
      </c>
      <c r="F24" s="192">
        <f>E24/$E$28</f>
        <v>0.74140184561116185</v>
      </c>
      <c r="G24" s="3"/>
    </row>
    <row r="25" spans="2:10" ht="15" customHeight="1" x14ac:dyDescent="0.35">
      <c r="B25" s="189" t="s">
        <v>47</v>
      </c>
      <c r="C25" s="190">
        <f>SUM(C15:C17)</f>
        <v>95.8</v>
      </c>
      <c r="D25" s="191">
        <f>IF(E25=0,0,E25/C25)</f>
        <v>0.1</v>
      </c>
      <c r="E25" s="182">
        <f>SUM(E15:E17)</f>
        <v>9.58</v>
      </c>
      <c r="F25" s="192">
        <f>E25/$E$28</f>
        <v>7.5430695096217444E-3</v>
      </c>
      <c r="G25" s="3"/>
      <c r="H25" s="189" t="s">
        <v>48</v>
      </c>
      <c r="I25" s="174">
        <f>E28/I28</f>
        <v>1.075940359200271</v>
      </c>
    </row>
    <row r="26" spans="2:10" ht="15" customHeight="1" x14ac:dyDescent="0.35">
      <c r="B26" s="189" t="s">
        <v>49</v>
      </c>
      <c r="C26" s="190">
        <f>C18+C19+C20</f>
        <v>637.70000000000005</v>
      </c>
      <c r="D26" s="191">
        <f>IF(E26=0,0,E26/C26)</f>
        <v>0.5</v>
      </c>
      <c r="E26" s="182">
        <f>E18+E19+E20</f>
        <v>318.85000000000002</v>
      </c>
      <c r="F26" s="192">
        <f>E26/$E$28</f>
        <v>0.25105508487921641</v>
      </c>
      <c r="G26" s="3"/>
      <c r="H26" s="189" t="s">
        <v>50</v>
      </c>
      <c r="I26" s="174">
        <f>E24/($I$28-I22)</f>
        <v>4.3035191956124326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0.80582006099627246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1895.1</v>
      </c>
      <c r="D28" s="196">
        <f>E28/C28</f>
        <v>0.67017043955464095</v>
      </c>
      <c r="E28" s="197">
        <f>SUM(E24:E27)</f>
        <v>1270.04</v>
      </c>
      <c r="F28" s="92"/>
      <c r="G28" s="3"/>
      <c r="H28" s="194" t="s">
        <v>15</v>
      </c>
      <c r="I28" s="167">
        <f>Inputs!C77</f>
        <v>1180.4000000000001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1721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392.6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121.2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2234.7999999999997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701.8</v>
      </c>
      <c r="D38" s="264">
        <f>Inputs!D68</f>
        <v>0.1</v>
      </c>
      <c r="E38" s="182">
        <f t="shared" si="1"/>
        <v>70.179999999999993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1525.3</v>
      </c>
      <c r="D40" s="264">
        <f>Inputs!D70</f>
        <v>0.05</v>
      </c>
      <c r="E40" s="182">
        <f t="shared" si="1"/>
        <v>76.265000000000001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169.3</v>
      </c>
      <c r="D41" s="264">
        <f>Inputs!D71</f>
        <v>0.9</v>
      </c>
      <c r="E41" s="182">
        <f t="shared" si="1"/>
        <v>152.37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949.6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701.8</v>
      </c>
      <c r="D46" s="191">
        <f>IF(E46=0,0,E46/C46)</f>
        <v>9.9999999999999992E-2</v>
      </c>
      <c r="E46" s="182">
        <f>E36+E37+E38+E39</f>
        <v>70.179999999999993</v>
      </c>
      <c r="F46" s="3"/>
      <c r="G46" s="3"/>
      <c r="H46" s="189" t="s">
        <v>73</v>
      </c>
      <c r="I46" s="174">
        <f>(E44+E24)/E64</f>
        <v>0.38376671014020219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2644.2</v>
      </c>
      <c r="D47" s="191">
        <f>IF(E47=0,0,E47/C47)</f>
        <v>8.6466606156871642E-2</v>
      </c>
      <c r="E47" s="182">
        <f>E40+E41+E42</f>
        <v>228.63499999999999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3346</v>
      </c>
      <c r="D48" s="201">
        <f>E48/C48</f>
        <v>8.9305140466228325E-2</v>
      </c>
      <c r="E48" s="202">
        <f>SUM(E30:E42)</f>
        <v>298.815</v>
      </c>
      <c r="F48" s="3"/>
      <c r="G48" s="3"/>
      <c r="H48" s="96" t="s">
        <v>77</v>
      </c>
      <c r="I48" s="203">
        <f>I49-I28</f>
        <v>-1180.4000000000001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1568.855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2453.6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-9.1319727226241234</v>
      </c>
      <c r="K61" s="178"/>
    </row>
    <row r="62" spans="2:11" ht="11.65" x14ac:dyDescent="0.35">
      <c r="B62" s="12" t="s">
        <v>129</v>
      </c>
      <c r="C62" s="210">
        <f>C11+C30</f>
        <v>815.5</v>
      </c>
      <c r="D62" s="211">
        <f t="shared" si="2"/>
        <v>0.9</v>
      </c>
      <c r="E62" s="212">
        <f>E11+E30</f>
        <v>733.95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815.5</v>
      </c>
      <c r="D63" s="34">
        <f t="shared" si="2"/>
        <v>0.9</v>
      </c>
      <c r="E63" s="190">
        <f>E61+E62</f>
        <v>733.95</v>
      </c>
      <c r="F63" s="3"/>
      <c r="G63" s="3"/>
      <c r="H63" s="2" t="s">
        <v>257</v>
      </c>
      <c r="I63" s="213">
        <f>IF(I61&gt;0,FV(I62,D93,0,-I61),I61)</f>
        <v>-9.1319727226241234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2453.6</v>
      </c>
      <c r="F64" s="3"/>
      <c r="G64" s="3"/>
      <c r="H64" s="2" t="s">
        <v>258</v>
      </c>
      <c r="I64" s="213">
        <f>IF(I61&gt;0,PV(C94,D93,0,-I63),I61)</f>
        <v>-9.1319727226241234</v>
      </c>
      <c r="K64" s="178"/>
    </row>
    <row r="65" spans="1:11" ht="12" thickTop="1" x14ac:dyDescent="0.35">
      <c r="B65" s="9" t="s">
        <v>132</v>
      </c>
      <c r="C65" s="208">
        <f>C63-E64</f>
        <v>-1638.1</v>
      </c>
      <c r="D65" s="34">
        <f t="shared" si="2"/>
        <v>1.0497832855137048</v>
      </c>
      <c r="E65" s="190">
        <f>E63-E64</f>
        <v>-1719.6499999999999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-815.5</v>
      </c>
      <c r="D68" s="34">
        <f t="shared" si="2"/>
        <v>-1.0237952176578786</v>
      </c>
      <c r="E68" s="208">
        <f>E49-E63</f>
        <v>834.90499999999997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-2453.6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1638.1</v>
      </c>
      <c r="D70" s="34">
        <f t="shared" si="2"/>
        <v>2.0075117514193273</v>
      </c>
      <c r="E70" s="208">
        <f>E68-E69</f>
        <v>3288.5050000000001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3682.4</v>
      </c>
      <c r="D74" s="103"/>
      <c r="E74" s="262">
        <f>Inputs!E91</f>
        <v>3682.4</v>
      </c>
      <c r="F74" s="103"/>
      <c r="H74" s="262">
        <f>Inputs!F91</f>
        <v>3682.4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1499.6</v>
      </c>
      <c r="D75" s="106">
        <f>C75/$C$74</f>
        <v>0.40723441233977836</v>
      </c>
      <c r="E75" s="262">
        <f>Inputs!E92</f>
        <v>1499.6</v>
      </c>
      <c r="F75" s="217">
        <f>E75/E74</f>
        <v>0.40723441233977836</v>
      </c>
      <c r="H75" s="262">
        <f>Inputs!F92</f>
        <v>1499.6</v>
      </c>
      <c r="I75" s="217">
        <f>H75/$H$74</f>
        <v>0.40723441233977836</v>
      </c>
      <c r="K75" s="75"/>
    </row>
    <row r="76" spans="1:11" ht="15" customHeight="1" x14ac:dyDescent="0.35">
      <c r="B76" s="12" t="s">
        <v>87</v>
      </c>
      <c r="C76" s="150">
        <f>C74-C75</f>
        <v>2182.8000000000002</v>
      </c>
      <c r="D76" s="218"/>
      <c r="E76" s="219">
        <f>E74-E75</f>
        <v>2182.8000000000002</v>
      </c>
      <c r="F76" s="218"/>
      <c r="H76" s="219">
        <f>H74-H75</f>
        <v>2182.8000000000002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1519.3</v>
      </c>
      <c r="D77" s="106">
        <f>C77/$C$74</f>
        <v>0.41258418422767756</v>
      </c>
      <c r="E77" s="262">
        <f>Inputs!E93</f>
        <v>1519.3</v>
      </c>
      <c r="F77" s="217">
        <f>E77/E74</f>
        <v>0.41258418422767756</v>
      </c>
      <c r="H77" s="262">
        <f>Inputs!F93</f>
        <v>1519.3</v>
      </c>
      <c r="I77" s="217">
        <f>H77/$H$74</f>
        <v>0.41258418422767756</v>
      </c>
      <c r="K77" s="75"/>
    </row>
    <row r="78" spans="1:11" ht="15" customHeight="1" x14ac:dyDescent="0.35">
      <c r="B78" s="98" t="s">
        <v>152</v>
      </c>
      <c r="C78" s="102">
        <f>MAX(Data!C12,0)</f>
        <v>44.4</v>
      </c>
      <c r="D78" s="106">
        <f>C78/$C$74</f>
        <v>1.2057353899630675E-2</v>
      </c>
      <c r="E78" s="220">
        <f>E74*F78</f>
        <v>44.4</v>
      </c>
      <c r="F78" s="217">
        <f>I78</f>
        <v>1.2057353899630675E-2</v>
      </c>
      <c r="H78" s="262">
        <f>Inputs!F97</f>
        <v>44.4</v>
      </c>
      <c r="I78" s="217">
        <f>H78/$H$74</f>
        <v>1.2057353899630675E-2</v>
      </c>
      <c r="K78" s="75"/>
    </row>
    <row r="79" spans="1:11" ht="15" customHeight="1" x14ac:dyDescent="0.35">
      <c r="B79" s="221" t="s">
        <v>205</v>
      </c>
      <c r="C79" s="222">
        <f>C76-C77-C78</f>
        <v>619.10000000000025</v>
      </c>
      <c r="D79" s="223">
        <f>C79/C74</f>
        <v>0.16812404953291338</v>
      </c>
      <c r="E79" s="224">
        <f>E76-E77-E78</f>
        <v>619.10000000000025</v>
      </c>
      <c r="F79" s="223">
        <f>E79/E74</f>
        <v>0.16812404953291338</v>
      </c>
      <c r="G79" s="225"/>
      <c r="H79" s="224">
        <f>H76-H77-H78</f>
        <v>619.10000000000025</v>
      </c>
      <c r="I79" s="223">
        <f>H79/H74</f>
        <v>0.16812404953291338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173</v>
      </c>
      <c r="D81" s="106">
        <f>C81/$C$74</f>
        <v>4.6980230284597004E-2</v>
      </c>
      <c r="E81" s="220">
        <f>E74*F81</f>
        <v>173</v>
      </c>
      <c r="F81" s="217">
        <f>I81</f>
        <v>4.6980230284597004E-2</v>
      </c>
      <c r="H81" s="262">
        <f>Inputs!F94</f>
        <v>173</v>
      </c>
      <c r="I81" s="217">
        <f>H81/$H$74</f>
        <v>4.6980230284597004E-2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446.10000000000025</v>
      </c>
      <c r="D83" s="229">
        <f>C83/$C$74</f>
        <v>0.12114381924831638</v>
      </c>
      <c r="E83" s="230">
        <f>E79-E81-E82-E80</f>
        <v>446.10000000000025</v>
      </c>
      <c r="F83" s="229">
        <f>E83/E74</f>
        <v>0.12114381924831638</v>
      </c>
      <c r="H83" s="230">
        <f>H79-H81-H82-H80</f>
        <v>446.10000000000025</v>
      </c>
      <c r="I83" s="229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334.57500000000016</v>
      </c>
      <c r="D85" s="223">
        <f>C85/$C$74</f>
        <v>9.0857864436237279E-2</v>
      </c>
      <c r="E85" s="235">
        <f>E83*(1-F84)</f>
        <v>334.57500000000016</v>
      </c>
      <c r="F85" s="223">
        <f>E85/E74</f>
        <v>9.0857864436237279E-2</v>
      </c>
      <c r="G85" s="225"/>
      <c r="H85" s="235">
        <f>H83*(1-I84)</f>
        <v>334.57500000000016</v>
      </c>
      <c r="I85" s="223">
        <f>H85/$H$74</f>
        <v>9.0857864436237279E-2</v>
      </c>
      <c r="K85" s="75"/>
    </row>
    <row r="86" spans="1:11" ht="15" customHeight="1" x14ac:dyDescent="0.35">
      <c r="B86" s="3" t="s">
        <v>145</v>
      </c>
      <c r="C86" s="236">
        <f>C85*Data!C4/Common_Shares</f>
        <v>0.22881338213008592</v>
      </c>
      <c r="D86" s="103"/>
      <c r="E86" s="237">
        <f>E85*Data!C4/Common_Shares</f>
        <v>0.22881338213008592</v>
      </c>
      <c r="F86" s="103"/>
      <c r="H86" s="237">
        <f>H85*Data!C4/Common_Shares</f>
        <v>0.22881338213008592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8.2065406957763321E-2</v>
      </c>
      <c r="D87" s="103"/>
      <c r="E87" s="239">
        <f>E86*Exchange_Rate/Dashboard!G3</f>
        <v>8.2065406957763321E-2</v>
      </c>
      <c r="F87" s="103"/>
      <c r="H87" s="239">
        <f>H86*Exchange_Rate/Dashboard!G3</f>
        <v>8.2065406957763321E-2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0.1026</v>
      </c>
      <c r="D88" s="241">
        <f>C88/C86</f>
        <v>0.44840034723873545</v>
      </c>
      <c r="E88" s="261">
        <f>Inputs!E98</f>
        <v>0.1026</v>
      </c>
      <c r="F88" s="241">
        <f>E88/E86</f>
        <v>0.44840034723873545</v>
      </c>
      <c r="H88" s="261">
        <f>Inputs!F98</f>
        <v>0.1026</v>
      </c>
      <c r="I88" s="241">
        <f>H88/H86</f>
        <v>0.44840034723873545</v>
      </c>
      <c r="K88" s="75"/>
    </row>
    <row r="89" spans="1:11" ht="15" customHeight="1" x14ac:dyDescent="0.35">
      <c r="B89" s="3" t="s">
        <v>195</v>
      </c>
      <c r="C89" s="238">
        <f>C88*Exchange_Rate/Dashboard!G3</f>
        <v>3.6798156976149216E-2</v>
      </c>
      <c r="D89" s="103"/>
      <c r="E89" s="238">
        <f>E88*Exchange_Rate/Dashboard!G3</f>
        <v>3.6798156976149216E-2</v>
      </c>
      <c r="F89" s="103"/>
      <c r="H89" s="238">
        <f>H88*Exchange_Rate/Dashboard!G3</f>
        <v>3.6798156976149216E-2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47.703836882333775</v>
      </c>
      <c r="H93" s="3" t="s">
        <v>184</v>
      </c>
      <c r="I93" s="243">
        <f>FV(H87,D93,0,-(H86/(C93-D94)))*Exchange_Rate</f>
        <v>47.703836882333775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17.275187455148764</v>
      </c>
      <c r="H94" s="3" t="s">
        <v>185</v>
      </c>
      <c r="I94" s="243">
        <f>FV(H89,D93,0,-(H88/(C93-D94)))*Exchange_Rate</f>
        <v>17.275187455148764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34679.767374705116</v>
      </c>
      <c r="D97" s="250"/>
      <c r="E97" s="251">
        <f>PV(C94,D93,0,-F93)</f>
        <v>23.717237882360859</v>
      </c>
      <c r="F97" s="250"/>
      <c r="H97" s="251">
        <f>PV(C94,D93,0,-I93)</f>
        <v>23.717237882360859</v>
      </c>
      <c r="I97" s="251">
        <f>PV(C93,D93,0,-I93)</f>
        <v>33.189908505375882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-13352.933055003483</v>
      </c>
      <c r="D99" s="254"/>
      <c r="E99" s="255">
        <f>IF(H99&gt;0,I64,H99)</f>
        <v>-9.1319727226241234</v>
      </c>
      <c r="F99" s="254"/>
      <c r="H99" s="255">
        <f>I64</f>
        <v>-9.1319727226241234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12.397475385776225</v>
      </c>
      <c r="E100" s="257">
        <f>MAX(E97+H98+E99,0)</f>
        <v>14.585265159736736</v>
      </c>
      <c r="F100" s="257">
        <f>(E100+H100)/2</f>
        <v>14.585265159736736</v>
      </c>
      <c r="H100" s="257">
        <f>MAX(H97+H98+H99,0)</f>
        <v>14.585265159736736</v>
      </c>
      <c r="I100" s="257">
        <f>MAX(I97+H98+H99,0)</f>
        <v>24.057935782751759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7.3004981055243103</v>
      </c>
      <c r="E103" s="251">
        <f>PV(C94,D93,0,-F94)</f>
        <v>8.5888213006168357</v>
      </c>
      <c r="F103" s="257">
        <f>(E103+H103)/2</f>
        <v>8.5888213006168357</v>
      </c>
      <c r="H103" s="251">
        <f>PV(C94,D93,0,-I94)</f>
        <v>8.5888213006168357</v>
      </c>
      <c r="I103" s="257">
        <f>PV(C93,D93,0,-I94)</f>
        <v>12.019198633096504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9.8489867456502687</v>
      </c>
      <c r="E106" s="251">
        <f>(E100+E103)/2</f>
        <v>11.587043230176786</v>
      </c>
      <c r="F106" s="257">
        <f>(F100+F103)/2</f>
        <v>11.587043230176786</v>
      </c>
      <c r="H106" s="251">
        <f>(H100+H103)/2</f>
        <v>11.587043230176786</v>
      </c>
      <c r="I106" s="251">
        <f>(I100+I103)/2</f>
        <v>18.038567207924132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