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F1B0EB-8A22-4A3E-AC9D-11E148BFB7E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G2" i="1"/>
  <c r="F95" i="4" l="1"/>
  <c r="F96" i="4"/>
  <c r="E92" i="4"/>
  <c r="F97" i="4"/>
  <c r="E95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<sst xmlns="http://schemas.openxmlformats.org/spreadsheetml/2006/main" count="404" uniqueCount="288">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</sst>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278</v>
      </c>
      <c r="D4" s="66"/>
    </row>
    <row r="5" spans="1:5" x14ac:dyDescent="0.35">
      <c r="B5" s="46" t="s">
        <v>170</v>
      </c>
      <c r="C5" s="67" t="s">
        <v>279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280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2454657755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 t="s">
        <v>283</v>
      </c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38292</v>
      </c>
      <c r="D25" s="80">
        <v>24836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1323</v>
      </c>
      <c r="D26" s="82">
        <v>1695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11551</v>
      </c>
      <c r="D27" s="82">
        <v>10913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19458</v>
      </c>
      <c r="D29" s="82">
        <v>7659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-7</v>
      </c>
      <c r="D30" s="82">
        <v>-46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0.21+0.09</f>
        <v>0.3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2.4240103770245127E-2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277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38292</v>
      </c>
      <c r="D91" s="103"/>
      <c r="E91" s="104">
        <f>C91</f>
        <v>38292</v>
      </c>
      <c r="F91" s="104">
        <f>C91</f>
        <v>38292</v>
      </c>
    </row>
    <row r="92" spans="2:8" x14ac:dyDescent="0.35">
      <c r="B92" s="105" t="s">
        <v>97</v>
      </c>
      <c r="C92" s="102">
        <f>C26</f>
        <v>1323</v>
      </c>
      <c r="D92" s="106">
        <f>C92/C91</f>
        <v>3.4550297712315887E-2</v>
      </c>
      <c r="E92" s="107">
        <f>E91*D92</f>
        <v>1323</v>
      </c>
      <c r="F92" s="107">
        <f>F91*D92</f>
        <v>1323</v>
      </c>
    </row>
    <row r="93" spans="2:8" x14ac:dyDescent="0.35">
      <c r="B93" s="105" t="s">
        <v>217</v>
      </c>
      <c r="C93" s="102">
        <f>C27+C28</f>
        <v>11551</v>
      </c>
      <c r="D93" s="106">
        <f>C93/C91</f>
        <v>0.30165569831818656</v>
      </c>
      <c r="E93" s="107">
        <f>E91*D93</f>
        <v>11551</v>
      </c>
      <c r="F93" s="107">
        <f>F91*D93</f>
        <v>11551</v>
      </c>
    </row>
    <row r="94" spans="2:8" x14ac:dyDescent="0.35">
      <c r="B94" s="105" t="s">
        <v>223</v>
      </c>
      <c r="C94" s="102">
        <f>C29</f>
        <v>19458</v>
      </c>
      <c r="D94" s="106">
        <f>C94/C91</f>
        <v>0.50814791601378884</v>
      </c>
      <c r="E94" s="108"/>
      <c r="F94" s="107">
        <f>F91*D94</f>
        <v>19458.000000000004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</v>
      </c>
      <c r="D98" s="110"/>
      <c r="E98" s="111">
        <f>F98</f>
        <v>0.3</v>
      </c>
      <c r="F98" s="111">
        <f>C98</f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2888.HK : Standard Chartered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2888.HK</v>
      </c>
      <c r="D3" s="317"/>
      <c r="E3" s="3"/>
      <c r="F3" s="9" t="s">
        <v>1</v>
      </c>
      <c r="G3" s="10">
        <v>96.1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Standard Chartered</v>
      </c>
      <c r="D4" s="318"/>
      <c r="E4" s="3"/>
      <c r="F4" s="9" t="s">
        <v>2</v>
      </c>
      <c r="G4" s="321">
        <f>Inputs!C10</f>
        <v>2454657755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4">
        <f>G3*G4/1000000</f>
        <v>235892.61025550001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0.6637940039694975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0.50814791601378884</v>
      </c>
      <c r="F24" s="39" t="s">
        <v>225</v>
      </c>
      <c r="G24" s="43">
        <f>G3/(Fin_Analysis!H86*G7)</f>
        <v>6.6630033795270309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0.1615118933412292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2.4240103770245127E-2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20.084646223657273</v>
      </c>
      <c r="D29" s="54">
        <f>G29*(1+G20)</f>
        <v>38.026385500077055</v>
      </c>
      <c r="E29" s="3"/>
      <c r="F29" s="55">
        <f>IF(Fin_Analysis!C108="Profit",Fin_Analysis!F100,IF(Fin_Analysis!C108="Dividend",Fin_Analysis!F103,Fin_Analysis!F106))</f>
        <v>23.628995557243851</v>
      </c>
      <c r="G29" s="313">
        <f>IF(Fin_Analysis!C108="Profit",Fin_Analysis!I100,IF(Fin_Analysis!C108="Dividend",Fin_Analysis!I103,Fin_Analysis!I106))</f>
        <v>33.066422173980051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25418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38292</v>
      </c>
      <c r="D6" s="147">
        <f>IF(Inputs!D25="","",Inputs!D25)</f>
        <v>24836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0.54179416975358352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1323</v>
      </c>
      <c r="D8" s="149">
        <f>IF(Inputs!D26="","",Inputs!D26)</f>
        <v>1695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36969</v>
      </c>
      <c r="D9" s="279">
        <f t="shared" si="2"/>
        <v>23141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11551</v>
      </c>
      <c r="D10" s="149">
        <f>IF(Inputs!D27="","",Inputs!D27)</f>
        <v>10913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0.6637940039694975</v>
      </c>
      <c r="D13" s="300">
        <f t="shared" si="3"/>
        <v>0.49234981478498951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25418</v>
      </c>
      <c r="D14" s="302">
        <f t="shared" ref="D14:M14" si="4">IF(D6="","",D9-D10-MAX(D11,0)-MAX(D12,0))</f>
        <v>12228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1.0786719005561007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19458</v>
      </c>
      <c r="D17" s="149">
        <f>IF(Inputs!D29="","",Inputs!D29)</f>
        <v>7659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5960</v>
      </c>
      <c r="D22" s="283">
        <f t="shared" ref="D22:M22" si="8">IF(D6="","",D14-MAX(D16,0)-MAX(D17,0)-ABS(MAX(D21,0)-MAX(D19,0)))</f>
        <v>4569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0.1190692572861172</v>
      </c>
      <c r="D23" s="148">
        <f t="shared" si="9"/>
        <v>0.14073461910130455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4559.3999999999996</v>
      </c>
      <c r="D24" s="282">
        <f>IF(D6="","",D22*(1-Fin_Analysis!$I$84))</f>
        <v>3495.2849999999999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0.3044429853359597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3.4550297712315887E-2</v>
      </c>
      <c r="D40" s="156">
        <f t="shared" si="34"/>
        <v>6.8247704944435494E-2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0.15564608795570875</v>
      </c>
      <c r="D46" s="289">
        <f t="shared" si="40"/>
        <v>0.18396682235464648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276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38292</v>
      </c>
      <c r="D74" s="103"/>
      <c r="E74" s="262">
        <f>Inputs!E91</f>
        <v>38292</v>
      </c>
      <c r="F74" s="103"/>
      <c r="H74" s="262">
        <f>Inputs!F91</f>
        <v>38292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1323</v>
      </c>
      <c r="D75" s="106">
        <f>C75/$C$74</f>
        <v>3.4550297712315887E-2</v>
      </c>
      <c r="E75" s="262">
        <f>Inputs!E92</f>
        <v>1323</v>
      </c>
      <c r="F75" s="217">
        <f>E75/E74</f>
        <v>3.4550297712315887E-2</v>
      </c>
      <c r="H75" s="262">
        <f>Inputs!F92</f>
        <v>1323</v>
      </c>
      <c r="I75" s="217">
        <f>H75/$H$74</f>
        <v>3.4550297712315887E-2</v>
      </c>
      <c r="K75" s="75"/>
    </row>
    <row r="76" spans="1:11" ht="15" customHeight="1" x14ac:dyDescent="0.35">
      <c r="B76" s="12" t="s">
        <v>87</v>
      </c>
      <c r="C76" s="150">
        <f>C74-C75</f>
        <v>36969</v>
      </c>
      <c r="D76" s="218"/>
      <c r="E76" s="219">
        <f>E74-E75</f>
        <v>36969</v>
      </c>
      <c r="F76" s="218"/>
      <c r="H76" s="219">
        <f>H74-H75</f>
        <v>36969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11551</v>
      </c>
      <c r="D77" s="106">
        <f>C77/$C$74</f>
        <v>0.30165569831818656</v>
      </c>
      <c r="E77" s="262">
        <f>Inputs!E93</f>
        <v>11551</v>
      </c>
      <c r="F77" s="217">
        <f>E77/E74</f>
        <v>0.30165569831818656</v>
      </c>
      <c r="H77" s="262">
        <f>Inputs!F93</f>
        <v>11551</v>
      </c>
      <c r="I77" s="217">
        <f>H77/$H$74</f>
        <v>0.30165569831818656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25418</v>
      </c>
      <c r="D79" s="223">
        <f>C79/C74</f>
        <v>0.6637940039694975</v>
      </c>
      <c r="E79" s="224">
        <f>E76-E77-E78</f>
        <v>25418</v>
      </c>
      <c r="F79" s="223">
        <f>E79/E74</f>
        <v>0.6637940039694975</v>
      </c>
      <c r="G79" s="225"/>
      <c r="H79" s="224">
        <f>H76-H77-H78</f>
        <v>25418</v>
      </c>
      <c r="I79" s="223">
        <f>H79/H74</f>
        <v>0.6637940039694975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19458</v>
      </c>
      <c r="D81" s="106">
        <f>C81/$C$74</f>
        <v>0.50814791601378884</v>
      </c>
      <c r="E81" s="220">
        <f>E74*F81</f>
        <v>19458.000000000004</v>
      </c>
      <c r="F81" s="217">
        <f>I81</f>
        <v>0.50814791601378884</v>
      </c>
      <c r="H81" s="262">
        <f>Inputs!F94</f>
        <v>19458.000000000004</v>
      </c>
      <c r="I81" s="217">
        <f>H81/$H$74</f>
        <v>0.50814791601378884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5960</v>
      </c>
      <c r="D83" s="229">
        <f>C83/$C$74</f>
        <v>0.15564608795570875</v>
      </c>
      <c r="E83" s="230">
        <f>E79-E81-E82-E80</f>
        <v>5959.9999999999964</v>
      </c>
      <c r="F83" s="229">
        <f>E83/E74</f>
        <v>0.15564608795570867</v>
      </c>
      <c r="H83" s="230">
        <f>H79-H81-H82-H80</f>
        <v>5959.9999999999964</v>
      </c>
      <c r="I83" s="229">
        <f>H83/$H$74</f>
        <v>0.15564608795570867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4559.3999999999996</v>
      </c>
      <c r="D85" s="223">
        <f>C85/$C$74</f>
        <v>0.1190692572861172</v>
      </c>
      <c r="E85" s="235">
        <f>E83*(1-F84)</f>
        <v>4559.3999999999969</v>
      </c>
      <c r="F85" s="223">
        <f>E85/E74</f>
        <v>0.11906925728611713</v>
      </c>
      <c r="G85" s="225"/>
      <c r="H85" s="235">
        <f>H83*(1-I84)</f>
        <v>4559.3999999999969</v>
      </c>
      <c r="I85" s="223">
        <f>H85/$H$74</f>
        <v>0.11906925728611713</v>
      </c>
      <c r="K85" s="75"/>
    </row>
    <row r="86" spans="1:11" ht="15" customHeight="1" x14ac:dyDescent="0.35">
      <c r="B86" s="3" t="s">
        <v>145</v>
      </c>
      <c r="C86" s="236">
        <f>C85*Data!C4/Common_Shares</f>
        <v>1.8574483512875708</v>
      </c>
      <c r="D86" s="103"/>
      <c r="E86" s="237">
        <f>E85*Data!C4/Common_Shares</f>
        <v>1.8574483512875697</v>
      </c>
      <c r="F86" s="103"/>
      <c r="H86" s="237">
        <f>H85*Data!C4/Common_Shares</f>
        <v>1.8574483512875697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0.15008246927693814</v>
      </c>
      <c r="D87" s="103"/>
      <c r="E87" s="239">
        <f>E86*Exchange_Rate/Dashboard!G3</f>
        <v>0.15008246927693805</v>
      </c>
      <c r="F87" s="103"/>
      <c r="H87" s="239">
        <f>H86*Exchange_Rate/Dashboard!G3</f>
        <v>0.15008246927693805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</v>
      </c>
      <c r="D88" s="241">
        <f>C88/C86</f>
        <v>0.16151189334122912</v>
      </c>
      <c r="E88" s="261">
        <f>Inputs!E98</f>
        <v>0.3</v>
      </c>
      <c r="F88" s="241">
        <f>E88/E86</f>
        <v>0.1615118933412292</v>
      </c>
      <c r="H88" s="261">
        <f>Inputs!F98</f>
        <v>0.3</v>
      </c>
      <c r="I88" s="241">
        <f>H88/H86</f>
        <v>0.1615118933412292</v>
      </c>
      <c r="K88" s="75"/>
    </row>
    <row r="89" spans="1:11" ht="15" customHeight="1" x14ac:dyDescent="0.35">
      <c r="B89" s="3" t="s">
        <v>195</v>
      </c>
      <c r="C89" s="238">
        <f>C88*Exchange_Rate/Dashboard!G3</f>
        <v>2.4240103770245127E-2</v>
      </c>
      <c r="D89" s="103"/>
      <c r="E89" s="238">
        <f>E88*Exchange_Rate/Dashboard!G3</f>
        <v>2.4240103770245127E-2</v>
      </c>
      <c r="F89" s="103"/>
      <c r="H89" s="238">
        <f>H88*Exchange_Rate/Dashboard!G3</f>
        <v>2.4240103770245127E-2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HK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525.24991340755321</v>
      </c>
      <c r="H93" s="3" t="s">
        <v>184</v>
      </c>
      <c r="I93" s="243">
        <f>FV(H87,D93,0,-(H86/(C93-D94)))*Exchange_Rate</f>
        <v>525.24991340755321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47.526350047467972</v>
      </c>
      <c r="H94" s="3" t="s">
        <v>185</v>
      </c>
      <c r="I94" s="243">
        <f>FV(H89,D93,0,-(H88/(C93-D94)))*Exchange_Rate</f>
        <v>47.526350047467972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641014.3266803174</v>
      </c>
      <c r="D97" s="250"/>
      <c r="E97" s="251">
        <f>PV(C94,D93,0,-F93)</f>
        <v>261.14203716367678</v>
      </c>
      <c r="F97" s="250"/>
      <c r="H97" s="251">
        <f>PV(C94,D93,0,-I93)</f>
        <v>261.14203716367678</v>
      </c>
      <c r="I97" s="251">
        <f>PV(C93,D93,0,-I93)</f>
        <v>365.44223080951548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221.97073158912525</v>
      </c>
      <c r="E100" s="257">
        <f>MAX(E97+H98+E99,0)</f>
        <v>261.14203716367678</v>
      </c>
      <c r="F100" s="257">
        <f>(E100+H100)/2</f>
        <v>261.14203716367678</v>
      </c>
      <c r="H100" s="257">
        <f>MAX(H97+H98+H99,0)</f>
        <v>261.14203716367678</v>
      </c>
      <c r="I100" s="257">
        <f>MAX(I97+H98+H99,0)</f>
        <v>365.44223080951548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20.084646223657273</v>
      </c>
      <c r="E103" s="251">
        <f>PV(C94,D93,0,-F94)</f>
        <v>23.628995557243851</v>
      </c>
      <c r="F103" s="257">
        <f>(E103+H103)/2</f>
        <v>23.628995557243851</v>
      </c>
      <c r="H103" s="251">
        <f>PV(C94,D93,0,-I94)</f>
        <v>23.628995557243851</v>
      </c>
      <c r="I103" s="257">
        <f>PV(C93,D93,0,-I94)</f>
        <v>33.066422173980051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121.02768890639126</v>
      </c>
      <c r="E106" s="251">
        <f>(E100+E103)/2</f>
        <v>142.38551636046031</v>
      </c>
      <c r="F106" s="257">
        <f>(F100+F103)/2</f>
        <v>142.38551636046031</v>
      </c>
      <c r="H106" s="251">
        <f>(H100+H103)/2</f>
        <v>142.38551636046031</v>
      </c>
      <c r="I106" s="251">
        <f>(I100+I103)/2</f>
        <v>199.25432649174778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