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F05CD80-3BC1-4A67-B7CC-B5417DD8C7BC}" xr6:coauthVersionLast="47" xr6:coauthVersionMax="47" xr10:uidLastSave="{00000000-0000-0000-0000-000000000000}"/>
  <bookViews>
    <workbookView xWindow="1103" yWindow="1103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7" i="3" s="1"/>
  <c r="C92" i="3"/>
  <c r="E80" i="3"/>
  <c r="B92" i="3" l="1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<sst xmlns="http://schemas.openxmlformats.org/spreadsheetml/2006/main" count="250" uniqueCount="228">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</sst>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4" zoomScaleNormal="100" workbookViewId="0">
      <selection activeCell="C6" sqref="C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15.279999732971191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587107850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8971.0077912252909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198" t="s">
        <v>2</v>
      </c>
      <c r="H6" s="198"/>
      <c r="I6" s="38"/>
    </row>
    <row r="7" spans="1:10" ht="15.75" customHeight="1" x14ac:dyDescent="0.4">
      <c r="B7" s="93" t="s">
        <v>220</v>
      </c>
      <c r="C7" s="190" t="s">
        <v>46</v>
      </c>
      <c r="D7" s="196" t="s">
        <v>227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0.72762956087193742</v>
      </c>
      <c r="F20" s="181" t="s">
        <v>195</v>
      </c>
      <c r="G20" s="178">
        <f>Fin_Analysis!F91</f>
        <v>8.5237544632605092E-2</v>
      </c>
    </row>
    <row r="21" spans="1:8" ht="15.75" customHeight="1" x14ac:dyDescent="0.4">
      <c r="B21" s="177" t="s">
        <v>188</v>
      </c>
      <c r="C21" s="178">
        <f>Fin_Analysis!F77</f>
        <v>0.12012374818624762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3.8885650375487034E-3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0.03</v>
      </c>
      <c r="F23" s="181" t="s">
        <v>214</v>
      </c>
      <c r="G23" s="188">
        <f>G3/(Data!C34*Data!E3/Common_Shares*Exchange_Rate)</f>
        <v>0.69737864768713886</v>
      </c>
    </row>
    <row r="24" spans="1:8" ht="15.75" customHeight="1" x14ac:dyDescent="0.4">
      <c r="B24" s="177" t="s">
        <v>191</v>
      </c>
      <c r="C24" s="178">
        <f>Fin_Analysis!F81</f>
        <v>4.0883763120383568E-2</v>
      </c>
      <c r="F24" s="181" t="s">
        <v>198</v>
      </c>
      <c r="G24" s="182">
        <f>(Fin_Analysis!E86*G7)/G3</f>
        <v>9.9267203387231592E-2</v>
      </c>
    </row>
    <row r="25" spans="1:8" ht="15.75" customHeight="1" x14ac:dyDescent="0.4">
      <c r="B25" s="177" t="s">
        <v>219</v>
      </c>
      <c r="C25" s="178">
        <f>Fin_Analysis!F82</f>
        <v>0</v>
      </c>
      <c r="F25" s="181" t="s">
        <v>197</v>
      </c>
      <c r="G25" s="178">
        <f>Fin_Analysis!F87</f>
        <v>0.8966227930318843</v>
      </c>
    </row>
    <row r="26" spans="1:8" ht="15.75" customHeight="1" x14ac:dyDescent="0.4">
      <c r="B26" s="179" t="s">
        <v>193</v>
      </c>
      <c r="C26" s="178">
        <f>Fin_Analysis!F83</f>
        <v>7.7474362783882672E-2</v>
      </c>
      <c r="F26" s="183" t="s">
        <v>221</v>
      </c>
      <c r="G26" s="182">
        <f>Fin_Analysis!E87*Exchange_Rate/G3</f>
        <v>8.9005237157523717E-2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16.470510385755542</v>
      </c>
      <c r="D29" s="167">
        <f>IF(Fin_Analysis!C103="Profit",Fin_Analysis!F98,Fin_Analysis!F101)</f>
        <v>27.450850642925904</v>
      </c>
      <c r="E29" s="94"/>
      <c r="F29" s="169">
        <f>IF(Fin_Analysis!C103="Profit",Fin_Analysis!D98,Fin_Analysis!D101)</f>
        <v>21.960680514340723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45381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105" t="s">
        <v>12</v>
      </c>
      <c r="C6" s="58">
        <v>15325962</v>
      </c>
      <c r="D6" s="58">
        <v>11977844</v>
      </c>
      <c r="E6" s="58">
        <v>11737803</v>
      </c>
      <c r="F6" s="58">
        <v>8861335</v>
      </c>
      <c r="G6" s="58">
        <v>11233771</v>
      </c>
      <c r="H6" s="58">
        <v>15859990</v>
      </c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0.27952593137796744</v>
      </c>
      <c r="D7" s="103">
        <f t="shared" si="1"/>
        <v>2.0450249505806095E-2</v>
      </c>
      <c r="E7" s="103">
        <f t="shared" si="1"/>
        <v>0.32460887665346139</v>
      </c>
      <c r="F7" s="103">
        <f t="shared" si="1"/>
        <v>-0.21118785490642455</v>
      </c>
      <c r="G7" s="103">
        <f t="shared" si="1"/>
        <v>-0.29169116752280422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11151623</v>
      </c>
      <c r="D8" s="92">
        <v>8747447</v>
      </c>
      <c r="E8" s="92">
        <v>8503976</v>
      </c>
      <c r="F8" s="92">
        <v>6229020</v>
      </c>
      <c r="G8" s="92">
        <v>7910751</v>
      </c>
      <c r="H8" s="92">
        <v>11826154</v>
      </c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4174339</v>
      </c>
      <c r="D9" s="101">
        <f t="shared" si="2"/>
        <v>3230397</v>
      </c>
      <c r="E9" s="101">
        <f t="shared" si="2"/>
        <v>3233827</v>
      </c>
      <c r="F9" s="101">
        <f t="shared" si="2"/>
        <v>2632315</v>
      </c>
      <c r="G9" s="101">
        <f t="shared" si="2"/>
        <v>3323020</v>
      </c>
      <c r="H9" s="101">
        <f t="shared" si="2"/>
        <v>4033836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2297566</v>
      </c>
      <c r="D10" s="92">
        <v>1867515</v>
      </c>
      <c r="E10" s="92">
        <v>1815111</v>
      </c>
      <c r="F10" s="92">
        <v>1694480</v>
      </c>
      <c r="G10" s="92">
        <v>2118252</v>
      </c>
      <c r="H10" s="92">
        <v>2416769</v>
      </c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2.9789581887257714E-2</v>
      </c>
      <c r="D11" s="97">
        <f t="shared" si="3"/>
        <v>3.1156775793707115E-2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456554</v>
      </c>
      <c r="D12" s="92">
        <v>373191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2333327</v>
      </c>
      <c r="D13" s="101">
        <f t="shared" ref="D13:M13" si="4">IF(D6="","",(D9-D10+D12))</f>
        <v>1736073</v>
      </c>
      <c r="E13" s="101">
        <f t="shared" si="4"/>
        <v>1418716</v>
      </c>
      <c r="F13" s="101">
        <f t="shared" si="4"/>
        <v>937835</v>
      </c>
      <c r="G13" s="101">
        <f t="shared" si="4"/>
        <v>1204768</v>
      </c>
      <c r="H13" s="101">
        <f t="shared" si="4"/>
        <v>1617067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676387</v>
      </c>
      <c r="D15" s="92">
        <v>107280</v>
      </c>
      <c r="E15" s="92">
        <v>455483</v>
      </c>
      <c r="F15" s="92">
        <v>138937</v>
      </c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626583</v>
      </c>
      <c r="D16" s="92">
        <v>352099</v>
      </c>
      <c r="E16" s="92">
        <v>1045251</v>
      </c>
      <c r="F16" s="92">
        <v>-818677</v>
      </c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59596</v>
      </c>
      <c r="D17" s="92">
        <v>20763</v>
      </c>
      <c r="E17" s="92">
        <v>23097</v>
      </c>
      <c r="F17" s="92">
        <v>28849</v>
      </c>
      <c r="G17" s="92">
        <v>63075</v>
      </c>
      <c r="H17" s="92">
        <v>34253</v>
      </c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-9467</v>
      </c>
      <c r="D18" s="92">
        <v>-30</v>
      </c>
      <c r="E18" s="92">
        <v>-27</v>
      </c>
      <c r="F18" s="92">
        <v>1799</v>
      </c>
      <c r="G18" s="92">
        <v>1337</v>
      </c>
      <c r="H18" s="92">
        <v>10908</v>
      </c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970761</v>
      </c>
      <c r="D19" s="95">
        <f>IF(D6="","",D13-D14-MAX(D15,0)-MAX(D16,0)-D17-MAX(D18/(1-Fin_Analysis!$F$84),0))</f>
        <v>1255931</v>
      </c>
      <c r="E19" s="95">
        <f>IF(E6="","",E13-E14-MAX(E15,0)-MAX(E16,0)-E17-MAX(E18/(1-Fin_Analysis!$F$84),0))</f>
        <v>-105115</v>
      </c>
      <c r="F19" s="95">
        <f>IF(F6="","",F13-F14-MAX(F15,0)-MAX(F16,0)-F17-MAX(F18/(1-Fin_Analysis!$F$84),0))</f>
        <v>767650.33333333337</v>
      </c>
      <c r="G19" s="95">
        <f>IF(G6="","",G13-G14-MAX(G15,0)-MAX(G16,0)-G17-MAX(G18/(1-Fin_Analysis!$F$84),0))</f>
        <v>1139910.3333333333</v>
      </c>
      <c r="H19" s="95">
        <f>IF(H6="","",H13-H14-MAX(H15,0)-MAX(H16,0)-H17-MAX(H18/(1-Fin_Analysis!$F$84),0))</f>
        <v>1568270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-0.22705865210748041</v>
      </c>
      <c r="D20" s="57" t="str">
        <f t="shared" ref="D20:M20" si="5">IF(E19="","",IF(ABS(D19+E19)=ABS(D19)+ABS(E19),IF(D19&lt;0,-1,1)*(D19-E19)/E19,"Turn"))</f>
        <v>Turn</v>
      </c>
      <c r="E20" s="57" t="str">
        <f t="shared" si="5"/>
        <v>Turn</v>
      </c>
      <c r="F20" s="57">
        <f t="shared" si="5"/>
        <v>-0.32656954596721194</v>
      </c>
      <c r="G20" s="57">
        <f t="shared" si="5"/>
        <v>-0.27314152962606358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4.7505712855088637E-2</v>
      </c>
      <c r="D21" s="56">
        <f t="shared" si="6"/>
        <v>7.8640884786944962E-2</v>
      </c>
      <c r="E21" s="56">
        <f t="shared" si="6"/>
        <v>-6.7164400356693665E-3</v>
      </c>
      <c r="F21" s="56">
        <f t="shared" si="6"/>
        <v>6.4971897575252485E-2</v>
      </c>
      <c r="G21" s="56">
        <f t="shared" si="6"/>
        <v>7.6103807884280353E-2</v>
      </c>
      <c r="H21" s="56">
        <f t="shared" si="6"/>
        <v>7.4161616747551548E-2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728070.75</v>
      </c>
      <c r="D22" s="95">
        <f>IF(D6="","",D19*(1-Fin_Analysis!$F$84))</f>
        <v>941948.25</v>
      </c>
      <c r="E22" s="95">
        <f>IF(E6="","",E19*(1-Fin_Analysis!$F$84))</f>
        <v>-78836.25</v>
      </c>
      <c r="F22" s="95">
        <f>IF(F6="","",F19*(1-Fin_Analysis!$F$84))</f>
        <v>575737.75</v>
      </c>
      <c r="G22" s="95">
        <f>IF(G6="","",G19*(1-Fin_Analysis!$F$84))</f>
        <v>854932.75</v>
      </c>
      <c r="H22" s="95">
        <f>IF(H6="","",H19*(1-Fin_Analysis!$F$84))</f>
        <v>1176202.5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-0.22705865210748041</v>
      </c>
      <c r="D23" s="80" t="str">
        <f t="shared" ref="D23:M23" si="7">IF(E22="","",IF(ABS(D22+E22)=ABS(D22)+ABS(E22),IF(D22&lt;0,-1,1)*(D22-E22)/E22,"Turn"))</f>
        <v>Turn</v>
      </c>
      <c r="E23" s="80" t="str">
        <f t="shared" si="7"/>
        <v>Turn</v>
      </c>
      <c r="F23" s="80">
        <f t="shared" si="7"/>
        <v>-0.32656954596721205</v>
      </c>
      <c r="G23" s="80">
        <f t="shared" si="7"/>
        <v>-0.27314152962606353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45381</v>
      </c>
      <c r="D24" s="49">
        <f>D5</f>
        <v>45016</v>
      </c>
      <c r="E24" s="49">
        <f t="shared" ref="E24" si="8">EOMONTH(EDATE(D24,-12),0)</f>
        <v>44651</v>
      </c>
      <c r="F24" s="49">
        <f t="shared" ref="F24" si="9">EOMONTH(EDATE(E24,-12),0)</f>
        <v>44286</v>
      </c>
      <c r="G24" s="49">
        <f t="shared" ref="G24" si="10">EOMONTH(EDATE(F24,-12),0)</f>
        <v>43921</v>
      </c>
      <c r="H24" s="49">
        <f t="shared" ref="H24" si="11">EOMONTH(EDATE(G24,-12),0)</f>
        <v>43555</v>
      </c>
      <c r="I24" s="49">
        <f t="shared" ref="I24" si="12">EOMONTH(EDATE(H24,-12),0)</f>
        <v>43190</v>
      </c>
      <c r="J24" s="49">
        <f t="shared" ref="J24" si="13">EOMONTH(EDATE(I24,-12),0)</f>
        <v>42825</v>
      </c>
      <c r="K24" s="49">
        <f t="shared" ref="K24" si="14">EOMONTH(EDATE(J24,-12),0)</f>
        <v>42460</v>
      </c>
      <c r="L24" s="49">
        <f t="shared" ref="L24" si="15">EOMONTH(EDATE(K24,-12),0)</f>
        <v>42094</v>
      </c>
      <c r="M24" s="49">
        <f t="shared" ref="M24" si="16">EOMONTH(EDATE(L24,-12),0)</f>
        <v>41729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14928506</v>
      </c>
      <c r="E25" s="41">
        <f t="shared" si="17"/>
        <v>16220269</v>
      </c>
      <c r="F25" s="41">
        <f t="shared" si="17"/>
        <v>14512039</v>
      </c>
      <c r="G25" s="41">
        <f t="shared" si="17"/>
        <v>0</v>
      </c>
      <c r="H25" s="41">
        <f t="shared" si="17"/>
        <v>0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>
        <v>11972903</v>
      </c>
      <c r="E26" s="92">
        <v>13002006</v>
      </c>
      <c r="F26" s="92">
        <v>11732726</v>
      </c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>
        <v>213823</v>
      </c>
      <c r="E27" s="92">
        <v>187711</v>
      </c>
      <c r="F27" s="92">
        <v>277338</v>
      </c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>
        <v>8852611</v>
      </c>
      <c r="E28" s="92">
        <v>8769304</v>
      </c>
      <c r="F28" s="92">
        <v>7321614</v>
      </c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>
        <v>2466431</v>
      </c>
      <c r="E29" s="92">
        <v>3908586</v>
      </c>
      <c r="F29" s="92">
        <v>2946772</v>
      </c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>
        <v>241133</v>
      </c>
      <c r="E30" s="92">
        <v>233155</v>
      </c>
      <c r="F30" s="92">
        <v>241043</v>
      </c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>
        <v>35175</v>
      </c>
      <c r="E31" s="92">
        <v>1587989</v>
      </c>
      <c r="F31" s="92">
        <v>1050082</v>
      </c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>
        <v>67759</v>
      </c>
      <c r="E32" s="92">
        <v>153013</v>
      </c>
      <c r="F32" s="92">
        <v>81854</v>
      </c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102934</v>
      </c>
      <c r="E33" s="95">
        <f t="shared" si="18"/>
        <v>1741002</v>
      </c>
      <c r="F33" s="95">
        <f t="shared" si="18"/>
        <v>1131936</v>
      </c>
      <c r="G33" s="95">
        <f t="shared" si="18"/>
        <v>0</v>
      </c>
      <c r="H33" s="95">
        <f t="shared" si="18"/>
        <v>0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>
        <v>12220942</v>
      </c>
      <c r="E34" s="92">
        <v>12078528</v>
      </c>
      <c r="F34" s="92">
        <v>11324224</v>
      </c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>
        <v>-498</v>
      </c>
      <c r="E35" s="92">
        <v>468</v>
      </c>
      <c r="F35" s="92">
        <v>411</v>
      </c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>
        <v>3475378</v>
      </c>
      <c r="E36" s="92">
        <v>4499643</v>
      </c>
      <c r="F36" s="92">
        <v>4455433</v>
      </c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11453128</v>
      </c>
      <c r="E37" s="41">
        <f t="shared" si="19"/>
        <v>11720626</v>
      </c>
      <c r="F37" s="41">
        <f t="shared" si="19"/>
        <v>10056606</v>
      </c>
      <c r="G37" s="41">
        <f t="shared" si="19"/>
        <v>0</v>
      </c>
      <c r="H37" s="41">
        <f t="shared" si="19"/>
        <v>0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6.9687918674635876E-2</v>
      </c>
      <c r="D38" s="104">
        <f t="shared" ref="D38:M38" si="20">IF(D6="","",D19/D37)</f>
        <v>0.10965833962564638</v>
      </c>
      <c r="E38" s="104">
        <f t="shared" si="20"/>
        <v>-8.9683776276113583E-3</v>
      </c>
      <c r="F38" s="104">
        <f t="shared" si="20"/>
        <v>7.6332943075758691E-2</v>
      </c>
      <c r="G38" s="104" t="e">
        <f t="shared" si="20"/>
        <v>#DIV/0!</v>
      </c>
      <c r="H38" s="104" t="e">
        <f t="shared" si="20"/>
        <v>#DIV/0!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0.72762956087193742</v>
      </c>
      <c r="D40" s="61">
        <f t="shared" si="21"/>
        <v>0.7303022981431383</v>
      </c>
      <c r="E40" s="61">
        <f t="shared" si="21"/>
        <v>0.7244946946204498</v>
      </c>
      <c r="F40" s="61">
        <f t="shared" si="21"/>
        <v>0.70294374380383995</v>
      </c>
      <c r="G40" s="61">
        <f t="shared" si="21"/>
        <v>0.70419372087965826</v>
      </c>
      <c r="H40" s="61">
        <f t="shared" si="21"/>
        <v>0.74565961264792724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0.12012374818624762</v>
      </c>
      <c r="D41" s="56">
        <f t="shared" si="22"/>
        <v>0.12475734364214461</v>
      </c>
      <c r="E41" s="56">
        <f t="shared" si="22"/>
        <v>0.1546380527940365</v>
      </c>
      <c r="F41" s="56">
        <f t="shared" si="22"/>
        <v>0.19122175157580659</v>
      </c>
      <c r="G41" s="56">
        <f t="shared" si="22"/>
        <v>0.18856108069142588</v>
      </c>
      <c r="H41" s="56">
        <f t="shared" si="22"/>
        <v>0.15238149582692045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4.413341231043115E-2</v>
      </c>
      <c r="D42" s="56">
        <f t="shared" si="23"/>
        <v>8.9565367523571013E-3</v>
      </c>
      <c r="E42" s="56">
        <f t="shared" si="23"/>
        <v>3.8804791663312119E-2</v>
      </c>
      <c r="F42" s="56">
        <f t="shared" si="23"/>
        <v>1.5679014505150749E-2</v>
      </c>
      <c r="G42" s="56">
        <f t="shared" si="23"/>
        <v>0</v>
      </c>
      <c r="H42" s="56">
        <f t="shared" si="23"/>
        <v>0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4.0883763120383568E-2</v>
      </c>
      <c r="D43" s="56">
        <f t="shared" si="24"/>
        <v>2.9395857885609465E-2</v>
      </c>
      <c r="E43" s="56">
        <f t="shared" si="24"/>
        <v>8.9049969572670459E-2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3.8885650375487034E-3</v>
      </c>
      <c r="D44" s="56">
        <f t="shared" si="25"/>
        <v>1.7334505274905901E-3</v>
      </c>
      <c r="E44" s="56">
        <f t="shared" si="25"/>
        <v>1.9677447304235723E-3</v>
      </c>
      <c r="F44" s="56">
        <f t="shared" si="25"/>
        <v>3.2556042627888463E-3</v>
      </c>
      <c r="G44" s="56">
        <f t="shared" si="25"/>
        <v>5.6147664039083583E-3</v>
      </c>
      <c r="H44" s="56">
        <f t="shared" si="25"/>
        <v>2.1597113239037349E-3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2.7068908541056925E-4</v>
      </c>
      <c r="G45" s="56">
        <f>IF(G6="","",MAX(G18,0)/(1-Fin_Analysis!$F$84)/G6)</f>
        <v>1.5868817930031392E-4</v>
      </c>
      <c r="H45" s="56">
        <f>IF(H6="","",MAX(H18,0)/(1-Fin_Analysis!$F$84)/H6)</f>
        <v>9.1702453784649294E-4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6.3340950473451521E-2</v>
      </c>
      <c r="D46" s="56">
        <f t="shared" si="26"/>
        <v>0.10485451304925995</v>
      </c>
      <c r="E46" s="56">
        <f t="shared" si="26"/>
        <v>-8.9552533808924892E-3</v>
      </c>
      <c r="F46" s="56">
        <f t="shared" si="26"/>
        <v>8.6629196767003327E-2</v>
      </c>
      <c r="G46" s="56">
        <f t="shared" si="26"/>
        <v>0.10147174384570713</v>
      </c>
      <c r="H46" s="56">
        <f t="shared" si="26"/>
        <v>9.8882155663402055E-2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1.7341358408692387E-2</v>
      </c>
      <c r="D48" s="61">
        <f t="shared" si="27"/>
        <v>1.7851543232655226E-2</v>
      </c>
      <c r="E48" s="61">
        <f t="shared" si="27"/>
        <v>1.5992004636642819E-2</v>
      </c>
      <c r="F48" s="61">
        <f t="shared" si="27"/>
        <v>3.1297541510393184E-2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0.63110270011109249</v>
      </c>
      <c r="D49" s="56">
        <f t="shared" si="28"/>
        <v>0.73908217538982812</v>
      </c>
      <c r="E49" s="56">
        <f t="shared" si="28"/>
        <v>0.74709926550990846</v>
      </c>
      <c r="F49" s="56">
        <f t="shared" si="28"/>
        <v>0.82624277267477186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>
        <f t="shared" ref="D51:M51" si="29">IF(D34="","",(D25-D34)/D25)</f>
        <v>0.1813687183432823</v>
      </c>
      <c r="E51" s="61">
        <f t="shared" si="29"/>
        <v>0.2553435457821322</v>
      </c>
      <c r="F51" s="61">
        <f t="shared" si="29"/>
        <v>0.21966692619831024</v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1.0016963896000173</v>
      </c>
      <c r="D52" s="60">
        <f t="shared" si="30"/>
        <v>12.201323177958692</v>
      </c>
      <c r="E52" s="60">
        <f t="shared" si="30"/>
        <v>-6.0376151204880865E-2</v>
      </c>
      <c r="F52" s="60">
        <f t="shared" si="30"/>
        <v>0.67817467889821803</v>
      </c>
      <c r="G52" s="60" t="str">
        <f t="shared" si="30"/>
        <v>-</v>
      </c>
      <c r="H52" s="60" t="str">
        <f t="shared" si="30"/>
        <v>-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6.1391011793840093E-2</v>
      </c>
      <c r="D53" s="56">
        <f t="shared" si="31"/>
        <v>1.6531959160176794E-2</v>
      </c>
      <c r="E53" s="56">
        <f t="shared" si="31"/>
        <v>-0.21973077106026734</v>
      </c>
      <c r="F53" s="56">
        <f t="shared" si="31"/>
        <v>3.7580912490105083E-2</v>
      </c>
      <c r="G53" s="56">
        <f t="shared" si="31"/>
        <v>5.5333299607483753E-2</v>
      </c>
      <c r="H53" s="56">
        <f t="shared" si="31"/>
        <v>2.1841264578165751E-2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>
        <f t="shared" si="32"/>
        <v>4.8543433811852026</v>
      </c>
      <c r="E54" s="62">
        <f t="shared" si="32"/>
        <v>3.3265242212912804</v>
      </c>
      <c r="F54" s="62">
        <f t="shared" si="32"/>
        <v>3.9815520169188523</v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zoomScaleNormal="100" workbookViewId="0">
      <selection activeCell="C94" sqref="C94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3751463.9230989409</v>
      </c>
      <c r="E6" s="56">
        <f>1-D6/D3</f>
        <v>0.70837269363462452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6.3897355879314865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45381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-26962</v>
      </c>
      <c r="D53" s="29">
        <f>IF(E53=0, 0,E53/C53)</f>
        <v>0.69737864768713886</v>
      </c>
      <c r="E53" s="95">
        <f>MAX(C53,C53*Dashboard!G23)</f>
        <v>-18802.723098940638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969117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1998219</v>
      </c>
      <c r="D62" s="122">
        <f t="shared" si="7"/>
        <v>1</v>
      </c>
      <c r="E62" s="143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45381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15325962</v>
      </c>
      <c r="D74" s="130"/>
      <c r="E74" s="149">
        <f>C74</f>
        <v>15325962</v>
      </c>
      <c r="F74" s="130"/>
    </row>
    <row r="75" spans="1:9" ht="15" customHeight="1" x14ac:dyDescent="0.4">
      <c r="B75" s="117" t="s">
        <v>109</v>
      </c>
      <c r="C75" s="95">
        <f>Data!C8</f>
        <v>11151623</v>
      </c>
      <c r="D75" s="131">
        <f>C75/$C$74</f>
        <v>0.72762956087193742</v>
      </c>
      <c r="E75" s="149">
        <f>D75*E74</f>
        <v>11151623</v>
      </c>
      <c r="F75" s="150">
        <f>E75/$E$74</f>
        <v>0.72762956087193742</v>
      </c>
    </row>
    <row r="76" spans="1:9" ht="15" customHeight="1" x14ac:dyDescent="0.4">
      <c r="B76" s="35" t="s">
        <v>96</v>
      </c>
      <c r="C76" s="118">
        <f>C74-C75</f>
        <v>4174339</v>
      </c>
      <c r="D76" s="132"/>
      <c r="E76" s="151">
        <f>E74-E75</f>
        <v>4174339</v>
      </c>
      <c r="F76" s="132"/>
    </row>
    <row r="77" spans="1:9" ht="15" customHeight="1" x14ac:dyDescent="0.4">
      <c r="B77" s="117" t="s">
        <v>133</v>
      </c>
      <c r="C77" s="95">
        <f>Data!C10-Data!C12</f>
        <v>1841012</v>
      </c>
      <c r="D77" s="131">
        <f>C77/$C$74</f>
        <v>0.12012374818624762</v>
      </c>
      <c r="E77" s="149">
        <f>D77*E74</f>
        <v>1841012</v>
      </c>
      <c r="F77" s="150">
        <f>E77/$E$74</f>
        <v>0.12012374818624762</v>
      </c>
    </row>
    <row r="78" spans="1:9" ht="15" customHeight="1" x14ac:dyDescent="0.4">
      <c r="B78" s="35" t="s">
        <v>97</v>
      </c>
      <c r="C78" s="118">
        <f>C76-C77</f>
        <v>2333327</v>
      </c>
      <c r="D78" s="132"/>
      <c r="E78" s="151">
        <f>E76-E77</f>
        <v>2333327</v>
      </c>
      <c r="F78" s="132"/>
    </row>
    <row r="79" spans="1:9" ht="15" customHeight="1" x14ac:dyDescent="0.4">
      <c r="B79" s="117" t="s">
        <v>129</v>
      </c>
      <c r="C79" s="95">
        <f>Data!C17</f>
        <v>59596</v>
      </c>
      <c r="D79" s="131">
        <f>C79/$C$74</f>
        <v>3.8885650375487034E-3</v>
      </c>
      <c r="E79" s="149">
        <f>C79</f>
        <v>59596</v>
      </c>
      <c r="F79" s="150">
        <f>E79/$E$74</f>
        <v>3.8885650375487034E-3</v>
      </c>
    </row>
    <row r="80" spans="1:9" ht="15" customHeight="1" x14ac:dyDescent="0.4">
      <c r="B80" s="28" t="s">
        <v>135</v>
      </c>
      <c r="C80" s="95">
        <f>Data!C14+MAX(Data!C15,0)</f>
        <v>676387</v>
      </c>
      <c r="D80" s="131">
        <f>C80/$C$74</f>
        <v>4.413341231043115E-2</v>
      </c>
      <c r="E80" s="149">
        <f>3%*E74</f>
        <v>459778.86</v>
      </c>
      <c r="F80" s="150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626583</v>
      </c>
      <c r="D81" s="131">
        <f>C81/$C$74</f>
        <v>4.0883763120383568E-2</v>
      </c>
      <c r="E81" s="149">
        <f>C81</f>
        <v>626583</v>
      </c>
      <c r="F81" s="150">
        <f t="shared" si="8"/>
        <v>4.0883763120383568E-2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0</v>
      </c>
      <c r="D82" s="131">
        <f>C82/$C$74</f>
        <v>0</v>
      </c>
      <c r="E82" s="149">
        <v>0</v>
      </c>
      <c r="F82" s="150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970761</v>
      </c>
      <c r="D83" s="133">
        <f>C83/$C$74</f>
        <v>6.3340950473451521E-2</v>
      </c>
      <c r="E83" s="152">
        <f>E78-E79-E80-E81-E82</f>
        <v>1187369.1400000001</v>
      </c>
      <c r="F83" s="135">
        <f t="shared" si="8"/>
        <v>7.7474362783882672E-2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728070.75</v>
      </c>
      <c r="D85" s="135">
        <f>C85/$C$74</f>
        <v>4.7505712855088637E-2</v>
      </c>
      <c r="E85" s="154">
        <f>E83*(1-F84)</f>
        <v>890526.8550000001</v>
      </c>
      <c r="F85" s="135">
        <f>E85/$E$74</f>
        <v>5.8105772087912011E-2</v>
      </c>
    </row>
    <row r="86" spans="1:8" ht="15" customHeight="1" x14ac:dyDescent="0.4">
      <c r="B86" s="94" t="s">
        <v>176</v>
      </c>
      <c r="C86" s="161">
        <f>C85*Data!E3/Common_Shares</f>
        <v>1.2400971133327547</v>
      </c>
      <c r="D86" s="130"/>
      <c r="E86" s="163">
        <f>E85*Data!E3/Common_Shares</f>
        <v>1.5168028412496957</v>
      </c>
      <c r="F86" s="130"/>
    </row>
    <row r="87" spans="1:8" ht="15" customHeight="1" x14ac:dyDescent="0.4">
      <c r="B87" s="93" t="s">
        <v>177</v>
      </c>
      <c r="C87" s="164">
        <f>0.72+0.64</f>
        <v>1.3599999999999999</v>
      </c>
      <c r="D87" s="135">
        <f>C87/C86</f>
        <v>1.0966883039869408</v>
      </c>
      <c r="E87" s="162">
        <f>C87</f>
        <v>1.3599999999999999</v>
      </c>
      <c r="F87" s="135">
        <f>E87/E86</f>
        <v>0.8966227930318843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216</v>
      </c>
      <c r="D91" s="206" t="s">
        <v>172</v>
      </c>
      <c r="E91" s="206"/>
      <c r="F91" s="29">
        <f>E83/C68</f>
        <v>8.5237544632605092E-2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11679040.721311476</v>
      </c>
      <c r="D95" s="155">
        <f>C95*Data!$E$3/Common_Shares</f>
        <v>19.892496278684529</v>
      </c>
    </row>
    <row r="96" spans="1:8" ht="15" customHeight="1" x14ac:dyDescent="0.4">
      <c r="B96" s="28" t="s">
        <v>157</v>
      </c>
      <c r="C96" s="102">
        <f>E82*Exchange_Rate</f>
        <v>0</v>
      </c>
      <c r="D96" s="155">
        <f>C96*Data!$E$3/Common_Shares</f>
        <v>0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1214247.2000000002</v>
      </c>
      <c r="D97" s="156">
        <f>C97*Data!$E$3/Common_Shares</f>
        <v>2.0681842356561919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12893287.921311475</v>
      </c>
      <c r="D98" s="124">
        <f>MAX(C98*Data!$E$3/Common_Shares,0)</f>
        <v>21.960680514340723</v>
      </c>
      <c r="E98" s="124">
        <f>D98*(1-25%)</f>
        <v>16.470510385755542</v>
      </c>
      <c r="F98" s="124">
        <f>D98*1.25</f>
        <v>27.450850642925904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10471694.111475408</v>
      </c>
      <c r="D101" s="155">
        <f>E87/(C92-F92)*Exchange_Rate</f>
        <v>17.83606557377049</v>
      </c>
      <c r="E101" s="124">
        <f>D101*(1-25%)</f>
        <v>13.377049180327868</v>
      </c>
      <c r="F101" s="124">
        <f>D101*1.25</f>
        <v>22.295081967213115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2024-10-28T02:55:42Z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