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04940ABB-B6BE-4452-AB02-5121EFB131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<sst xmlns="http://schemas.openxmlformats.org/spreadsheetml/2006/main" count="250" uniqueCount="228">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</sst>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6" sqref="D1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14.72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8642.2275520000003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 t="e">
        <f>Fin_Analysis!F75</f>
        <v>#DIV/0!</v>
      </c>
      <c r="F20" s="181" t="s">
        <v>195</v>
      </c>
      <c r="G20" s="178" t="e">
        <f>Fin_Analysis!F91</f>
        <v>#DIV/0!</v>
      </c>
    </row>
    <row r="21" spans="1:8" ht="15.75" customHeight="1" x14ac:dyDescent="0.4">
      <c r="B21" s="177" t="s">
        <v>188</v>
      </c>
      <c r="C21" s="178" t="e">
        <f>Fin_Analysis!F77</f>
        <v>#DIV/0!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 t="e">
        <f>Fin_Analysis!F79</f>
        <v>#DIV/0!</v>
      </c>
      <c r="F22" s="185" t="s">
        <v>210</v>
      </c>
    </row>
    <row r="23" spans="1:8" ht="15.75" customHeight="1" x14ac:dyDescent="0.4">
      <c r="B23" s="177" t="s">
        <v>190</v>
      </c>
      <c r="C23" s="178" t="e">
        <f>Fin_Analysis!F80</f>
        <v>#DIV/0!</v>
      </c>
      <c r="F23" s="181" t="s">
        <v>214</v>
      </c>
      <c r="G23" s="188">
        <f>G3/(Data!C34*Data!E3/Common_Shares*Exchange_Rate)</f>
        <v>2.3573200339104732</v>
      </c>
    </row>
    <row r="24" spans="1:8" ht="15.75" customHeight="1" x14ac:dyDescent="0.4">
      <c r="B24" s="177" t="s">
        <v>191</v>
      </c>
      <c r="C24" s="178" t="e">
        <f>Fin_Analysis!F81</f>
        <v>#DIV/0!</v>
      </c>
      <c r="F24" s="181" t="s">
        <v>198</v>
      </c>
      <c r="G24" s="182" t="e">
        <f>(Fin_Analysis!E86*G7)/G3</f>
        <v>#DIV/0!</v>
      </c>
    </row>
    <row r="25" spans="1:8" ht="15.75" customHeight="1" x14ac:dyDescent="0.4">
      <c r="B25" s="177" t="s">
        <v>219</v>
      </c>
      <c r="C25" s="178" t="e">
        <f>Fin_Analysis!F82</f>
        <v>#DIV/0!</v>
      </c>
      <c r="F25" s="181" t="s">
        <v>197</v>
      </c>
      <c r="G25" s="178" t="e">
        <f>Fin_Analysis!F87</f>
        <v>#DIV/0!</v>
      </c>
    </row>
    <row r="26" spans="1:8" ht="15.75" customHeight="1" x14ac:dyDescent="0.4">
      <c r="B26" s="179" t="s">
        <v>193</v>
      </c>
      <c r="C26" s="178" t="e">
        <f>Fin_Analysis!F83</f>
        <v>#DIV/0!</v>
      </c>
      <c r="F26" s="183" t="s">
        <v>221</v>
      </c>
      <c r="G26" s="182">
        <f>Fin_Analysis!E87*Exchange_Rate/G3</f>
        <v>1.0747282608695652E-2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 t="e">
        <f>IF(Fin_Analysis!C103="Profit",Fin_Analysis!E98,Fin_Analysis!E101)</f>
        <v>#DIV/0!</v>
      </c>
      <c r="D29" s="167" t="e">
        <f>IF(Fin_Analysis!C103="Profit",Fin_Analysis!F98,Fin_Analysis!F101)</f>
        <v>#DIV/0!</v>
      </c>
      <c r="E29" s="94"/>
      <c r="F29" s="169" t="e">
        <f>IF(Fin_Analysis!C103="Profit",Fin_Analysis!D98,Fin_Analysis!D101)</f>
        <v>#DIV/0!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5" zoomScaleNormal="100" workbookViewId="0">
      <pane xSplit="2" topLeftCell="G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 t="str">
        <f t="shared" ref="C7:M7" si="1">IF(D6="","",C6/D6-1)</f>
        <v/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 t="str">
        <f t="shared" ref="C9:M9" si="2">IF(C6="","",(C6-C8))</f>
        <v/>
      </c>
      <c r="D9" s="101" t="str">
        <f t="shared" si="2"/>
        <v/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 t="str">
        <f t="shared" ref="C11:M11" si="3">IF(C6="","",(C12/C6))</f>
        <v/>
      </c>
      <c r="D11" s="97" t="str">
        <f t="shared" si="3"/>
        <v/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 t="str">
        <f>IF(C6="","",(C9-C10+C12))</f>
        <v/>
      </c>
      <c r="D13" s="101" t="str">
        <f t="shared" ref="D13:M13" si="4">IF(D6="","",(D9-D10+D12))</f>
        <v/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 t="str">
        <f>IF(C6="","",C13-C14-MAX(C15,0)-MAX(C16,0)-C17-MAX(C18/(1-Fin_Analysis!$F$84),0))</f>
        <v/>
      </c>
      <c r="D19" s="95" t="str">
        <f>IF(D6="","",D13-D14-MAX(D15,0)-MAX(D16,0)-D17-MAX(D18/(1-Fin_Analysis!$F$84),0))</f>
        <v/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/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 t="str">
        <f t="shared" ref="C21:M21" si="6">IF(C6="","",C22/C6)</f>
        <v/>
      </c>
      <c r="D21" s="56" t="str">
        <f t="shared" si="6"/>
        <v/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 t="str">
        <f>IF(C6="","",C19*(1-Fin_Analysis!$F$84))</f>
        <v/>
      </c>
      <c r="D22" s="95" t="str">
        <f>IF(D6="","",D19*(1-Fin_Analysis!$F$84))</f>
        <v/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/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 t="str">
        <f t="shared" ref="C25:M25" si="17">IF(C6="","",C34+C29+C30)</f>
        <v/>
      </c>
      <c r="D25" s="41" t="str">
        <f t="shared" si="17"/>
        <v/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 t="str">
        <f t="shared" ref="C33:M33" si="18">IF(C6="","",C31+C32)</f>
        <v/>
      </c>
      <c r="D33" s="95" t="str">
        <f t="shared" si="18"/>
        <v/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 t="str">
        <f t="shared" ref="D37:M37" si="19">IF(D6="","",D25-D36)</f>
        <v/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 t="str">
        <f>IF(C6="","",C19/C37)</f>
        <v/>
      </c>
      <c r="D38" s="104" t="str">
        <f t="shared" ref="D38:M38" si="20">IF(D6="","",D19/D37)</f>
        <v/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 t="str">
        <f t="shared" ref="C40:M40" si="21">IF(C6="","",C8/C6)</f>
        <v/>
      </c>
      <c r="D40" s="61" t="str">
        <f t="shared" si="21"/>
        <v/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 t="str">
        <f t="shared" ref="C41:M41" si="22">IF(C6="","",(C10-C12)/C6)</f>
        <v/>
      </c>
      <c r="D41" s="56" t="str">
        <f t="shared" si="22"/>
        <v/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 t="str">
        <f t="shared" ref="C42:M42" si="23">IF(C6="","",(C14+MAX(C15,0))/C6)</f>
        <v/>
      </c>
      <c r="D42" s="56" t="str">
        <f t="shared" si="23"/>
        <v/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 t="str">
        <f t="shared" ref="C43:M43" si="24">IF(C6="","",MAX(C16,0)/C6)</f>
        <v/>
      </c>
      <c r="D43" s="56" t="str">
        <f t="shared" si="24"/>
        <v/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 t="str">
        <f t="shared" ref="C44:M44" si="25">IF(C6="","",C17/C6)</f>
        <v/>
      </c>
      <c r="D44" s="56" t="str">
        <f t="shared" si="25"/>
        <v/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 t="str">
        <f>IF(C6="","",MAX(C18,0)/(1-Fin_Analysis!$F$84)/C6)</f>
        <v/>
      </c>
      <c r="D45" s="56" t="str">
        <f>IF(D6="","",MAX(D18,0)/(1-Fin_Analysis!$F$84)/D6)</f>
        <v/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 t="str">
        <f t="shared" ref="C46:M46" si="26">IF(C6="","",C19/C6)</f>
        <v/>
      </c>
      <c r="D46" s="56" t="str">
        <f t="shared" si="26"/>
        <v/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 t="str">
        <f t="shared" ref="C48:M48" si="27">IF(C6="","",C27/C6)</f>
        <v/>
      </c>
      <c r="D48" s="61" t="str">
        <f t="shared" si="27"/>
        <v/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 t="str">
        <f t="shared" ref="C49:M49" si="28">IF(C6="","",C28/C6)</f>
        <v/>
      </c>
      <c r="D49" s="56" t="str">
        <f t="shared" si="28"/>
        <v/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 t="e">
        <f>IF(C34="","",(C25-C34)/C25)</f>
        <v>#VALUE!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 t="str">
        <f t="shared" ref="C52:M52" si="30">IF(C19="","",IF(C33&lt;=0,"-",C19/C33))</f>
        <v/>
      </c>
      <c r="D52" s="60" t="str">
        <f t="shared" si="30"/>
        <v/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/>
      </c>
      <c r="D53" s="56" t="str">
        <f t="shared" si="31"/>
        <v/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34" zoomScaleNormal="100" workbookViewId="0">
      <selection activeCell="F87" sqref="F87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1212256.4612932415</v>
      </c>
      <c r="E6" s="56">
        <f>1-D6/D3</f>
        <v>0.66933566314362491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2.0647934809477366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2.3573200339104732</v>
      </c>
      <c r="E53" s="95">
        <f>MAX(C53,C53*Dashboard!G23)</f>
        <v>107524.43870675842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0</v>
      </c>
      <c r="D74" s="130"/>
      <c r="E74" s="149">
        <f>C74</f>
        <v>0</v>
      </c>
      <c r="F74" s="130"/>
    </row>
    <row r="75" spans="1:9" ht="15" customHeight="1" x14ac:dyDescent="0.4">
      <c r="B75" s="117" t="s">
        <v>109</v>
      </c>
      <c r="C75" s="95">
        <f>Data!C8</f>
        <v>0</v>
      </c>
      <c r="D75" s="131" t="e">
        <f>C75/$C$74</f>
        <v>#DIV/0!</v>
      </c>
      <c r="E75" s="149" t="e">
        <f>D75*E74</f>
        <v>#DIV/0!</v>
      </c>
      <c r="F75" s="150" t="e">
        <f>E75/$E$74</f>
        <v>#DIV/0!</v>
      </c>
    </row>
    <row r="76" spans="1:9" ht="15" customHeight="1" x14ac:dyDescent="0.4">
      <c r="B76" s="35" t="s">
        <v>96</v>
      </c>
      <c r="C76" s="118">
        <f>C74-C75</f>
        <v>0</v>
      </c>
      <c r="D76" s="132"/>
      <c r="E76" s="151" t="e">
        <f>E74-E75</f>
        <v>#DIV/0!</v>
      </c>
      <c r="F76" s="132"/>
    </row>
    <row r="77" spans="1:9" ht="15" customHeight="1" x14ac:dyDescent="0.4">
      <c r="B77" s="117" t="s">
        <v>133</v>
      </c>
      <c r="C77" s="95">
        <f>Data!C10-Data!C12</f>
        <v>0</v>
      </c>
      <c r="D77" s="131" t="e">
        <f>C77/$C$74</f>
        <v>#DIV/0!</v>
      </c>
      <c r="E77" s="149" t="e">
        <f>D77*E74</f>
        <v>#DIV/0!</v>
      </c>
      <c r="F77" s="150" t="e">
        <f>E77/$E$74</f>
        <v>#DIV/0!</v>
      </c>
    </row>
    <row r="78" spans="1:9" ht="15" customHeight="1" x14ac:dyDescent="0.4">
      <c r="B78" s="35" t="s">
        <v>97</v>
      </c>
      <c r="C78" s="118">
        <f>C76-C77</f>
        <v>0</v>
      </c>
      <c r="D78" s="132"/>
      <c r="E78" s="151" t="e">
        <f>E76-E77</f>
        <v>#DIV/0!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 t="e">
        <f>C79/$C$74</f>
        <v>#DIV/0!</v>
      </c>
      <c r="E79" s="149">
        <f>C79</f>
        <v>0</v>
      </c>
      <c r="F79" s="150" t="e">
        <f>E79/$E$74</f>
        <v>#DIV/0!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 t="e">
        <f>C80/$C$74</f>
        <v>#DIV/0!</v>
      </c>
      <c r="E80" s="149">
        <f>4%*E74</f>
        <v>0</v>
      </c>
      <c r="F80" s="150" t="e">
        <f t="shared" ref="F80:F83" si="8">E80/$E$74</f>
        <v>#DIV/0!</v>
      </c>
    </row>
    <row r="81" spans="1:8" ht="15" customHeight="1" x14ac:dyDescent="0.4">
      <c r="B81" s="28" t="s">
        <v>113</v>
      </c>
      <c r="C81" s="95">
        <f>MAX(Data!C16,0)</f>
        <v>0</v>
      </c>
      <c r="D81" s="131" t="e">
        <f>C81/$C$74</f>
        <v>#DIV/0!</v>
      </c>
      <c r="E81" s="149">
        <f>C81</f>
        <v>0</v>
      </c>
      <c r="F81" s="150" t="e">
        <f t="shared" si="8"/>
        <v>#DIV/0!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 t="e">
        <f>C82/$C$74</f>
        <v>#DIV/0!</v>
      </c>
      <c r="E82" s="149">
        <f>E74*0.08%</f>
        <v>0</v>
      </c>
      <c r="F82" s="150" t="e">
        <f t="shared" si="8"/>
        <v>#DIV/0!</v>
      </c>
    </row>
    <row r="83" spans="1:8" ht="15" customHeight="1" thickBot="1" x14ac:dyDescent="0.45">
      <c r="B83" s="119" t="s">
        <v>134</v>
      </c>
      <c r="C83" s="100">
        <f>C78-C79-C80-C81-C82</f>
        <v>0</v>
      </c>
      <c r="D83" s="133" t="e">
        <f>C83/$C$74</f>
        <v>#DIV/0!</v>
      </c>
      <c r="E83" s="152" t="e">
        <f>E78-E79-E80-E81-E82</f>
        <v>#DIV/0!</v>
      </c>
      <c r="F83" s="135" t="e">
        <f t="shared" si="8"/>
        <v>#DIV/0!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0</v>
      </c>
      <c r="D85" s="135" t="e">
        <f>C85/$C$74</f>
        <v>#DIV/0!</v>
      </c>
      <c r="E85" s="154" t="e">
        <f>E83*(1-F84)</f>
        <v>#DIV/0!</v>
      </c>
      <c r="F85" s="135" t="e">
        <f>E85/$E$74</f>
        <v>#DIV/0!</v>
      </c>
    </row>
    <row r="86" spans="1:8" ht="15" customHeight="1" x14ac:dyDescent="0.4">
      <c r="B86" s="94" t="s">
        <v>176</v>
      </c>
      <c r="C86" s="161">
        <f>C85*Data!E3/Common_Shares</f>
        <v>0</v>
      </c>
      <c r="D86" s="130"/>
      <c r="E86" s="163" t="e">
        <f>E85*Data!E3/Common_Shares</f>
        <v>#DIV/0!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 t="e">
        <f>C87/C86</f>
        <v>#DIV/0!</v>
      </c>
      <c r="E87" s="162">
        <f>C87</f>
        <v>0.15820000000000001</v>
      </c>
      <c r="F87" s="135" t="e">
        <f>E87/E86</f>
        <v>#DIV/0!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 t="e">
        <f>E83/C68</f>
        <v>#DIV/0!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 t="e">
        <f>E85/(C92-F92)*Exchange_Rate</f>
        <v>#DIV/0!</v>
      </c>
      <c r="D95" s="155" t="e">
        <f>C95*Data!$E$3/Common_Shares</f>
        <v>#DIV/0!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2.2479360478658221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 t="e">
        <f>C95-C96+$C$97</f>
        <v>#DIV/0!</v>
      </c>
      <c r="D98" s="124" t="e">
        <f>MAX(C98*Data!$E$3/Common_Shares,0)</f>
        <v>#DIV/0!</v>
      </c>
      <c r="E98" s="124" t="e">
        <f>D98*(1-25%)</f>
        <v>#DIV/0!</v>
      </c>
      <c r="F98" s="124" t="e">
        <f>D98*1.25</f>
        <v>#DIV/0!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1218104.4179672133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