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4D1C8D-4037-43BD-85AE-074FD7B977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<sst xmlns="http://schemas.openxmlformats.org/spreadsheetml/2006/main" count="392" uniqueCount="274">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</sst>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45625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270</v>
      </c>
    </row>
    <row r="10" spans="1:5" ht="13.9" x14ac:dyDescent="0.4">
      <c r="B10" s="139" t="s">
        <v>204</v>
      </c>
      <c r="C10" s="192">
        <v>2897780274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45473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8">
        <v>71506</v>
      </c>
      <c r="D25" s="148">
        <v>71195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39292</v>
      </c>
      <c r="D26" s="149">
        <v>36737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3906+3322</f>
        <v>7228</v>
      </c>
      <c r="D27" s="149">
        <f>4179+3145</f>
        <v>7324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4046</v>
      </c>
      <c r="D29" s="149">
        <v>3053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559</v>
      </c>
      <c r="D30" s="149">
        <v>668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v>-2259</v>
      </c>
      <c r="D31" s="149">
        <v>-1565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v>4805</v>
      </c>
      <c r="D32" s="149">
        <v>4765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4396</v>
      </c>
      <c r="D33" s="149">
        <v>4262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207023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611071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4354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0.95+2.8</f>
        <v>3.75</v>
      </c>
      <c r="D44" s="247">
        <f>3.7+1.25</f>
        <v>4.95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5.0744248985115016E-2</v>
      </c>
      <c r="D45" s="151">
        <f>IF(D44="","",D44*Exchange_Rate/Dashboard!$G$3)</f>
        <v>6.6982408660351822E-2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16221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748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214077</v>
      </c>
      <c r="D56" s="60">
        <f>D50</f>
        <v>0.6</v>
      </c>
      <c r="E56" s="218" t="s">
        <v>43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7954+93101</f>
        <v>101055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408424</v>
      </c>
      <c r="D66" s="60">
        <v>0.2</v>
      </c>
      <c r="E66" s="218" t="s">
        <v>43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4338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3743</v>
      </c>
      <c r="D72" s="245">
        <v>0</v>
      </c>
      <c r="E72" s="246"/>
    </row>
    <row r="73" spans="2:5" ht="13.9" x14ac:dyDescent="0.4">
      <c r="B73" s="3" t="s">
        <v>36</v>
      </c>
      <c r="C73" s="59">
        <v>10498</v>
      </c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59</v>
      </c>
      <c r="C78" s="59">
        <v>116589</v>
      </c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>
        <v>145011</v>
      </c>
    </row>
    <row r="83" spans="2:8" ht="14.25" hidden="1" thickTop="1" x14ac:dyDescent="0.4">
      <c r="B83" s="73" t="s">
        <v>267</v>
      </c>
      <c r="C83" s="214">
        <v>606717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45473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71506</v>
      </c>
      <c r="D91" s="206"/>
      <c r="E91" s="248">
        <f>C91</f>
        <v>71506</v>
      </c>
      <c r="F91" s="248">
        <f>C91</f>
        <v>71506</v>
      </c>
    </row>
    <row r="92" spans="2:8" ht="13.9" x14ac:dyDescent="0.4">
      <c r="B92" s="104" t="s">
        <v>103</v>
      </c>
      <c r="C92" s="77">
        <f>C26</f>
        <v>39292</v>
      </c>
      <c r="D92" s="158">
        <f>C92/C91</f>
        <v>0.54949235029228316</v>
      </c>
      <c r="E92" s="249">
        <f>E91*D92</f>
        <v>39292</v>
      </c>
      <c r="F92" s="249">
        <f>F91*D92</f>
        <v>39292</v>
      </c>
    </row>
    <row r="93" spans="2:8" ht="13.9" x14ac:dyDescent="0.4">
      <c r="B93" s="104" t="s">
        <v>231</v>
      </c>
      <c r="C93" s="77">
        <f>C27+C28</f>
        <v>7228</v>
      </c>
      <c r="D93" s="158">
        <f>C93/C91</f>
        <v>0.10108242664951193</v>
      </c>
      <c r="E93" s="249">
        <f>E91*D93</f>
        <v>7228</v>
      </c>
      <c r="F93" s="249">
        <f>F91*D93</f>
        <v>7228</v>
      </c>
    </row>
    <row r="94" spans="2:8" ht="13.9" x14ac:dyDescent="0.4">
      <c r="B94" s="104" t="s">
        <v>240</v>
      </c>
      <c r="C94" s="77">
        <f>C29</f>
        <v>4046</v>
      </c>
      <c r="D94" s="158">
        <f>C94/C91</f>
        <v>5.6582664391799292E-2</v>
      </c>
      <c r="E94" s="250"/>
      <c r="F94" s="249">
        <f>F91*D94</f>
        <v>4046</v>
      </c>
    </row>
    <row r="95" spans="2:8" ht="13.9" x14ac:dyDescent="0.4">
      <c r="B95" s="28" t="s">
        <v>230</v>
      </c>
      <c r="C95" s="77">
        <f>ABS(MAX(C33,0)-C32)</f>
        <v>409</v>
      </c>
      <c r="D95" s="158">
        <f>C95/C91</f>
        <v>5.719799737085E-3</v>
      </c>
      <c r="E95" s="249">
        <f>E91*D95</f>
        <v>409</v>
      </c>
      <c r="F95" s="249">
        <f>F91*D95</f>
        <v>409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730.718954248366</v>
      </c>
      <c r="D97" s="158">
        <f>C97/C91</f>
        <v>1.0218987976510586E-2</v>
      </c>
      <c r="E97" s="250"/>
      <c r="F97" s="249">
        <f>F91*D97</f>
        <v>730.718954248366</v>
      </c>
    </row>
    <row r="98" spans="2:7" ht="13.9" x14ac:dyDescent="0.4">
      <c r="B98" s="86" t="s">
        <v>194</v>
      </c>
      <c r="C98" s="234">
        <f>C44</f>
        <v>3.75</v>
      </c>
      <c r="D98" s="263"/>
      <c r="E98" s="251">
        <f>F98</f>
        <v>3.75</v>
      </c>
      <c r="F98" s="251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0016.HK</v>
      </c>
      <c r="D3" s="290"/>
      <c r="E3" s="87"/>
      <c r="F3" s="3" t="s">
        <v>1</v>
      </c>
      <c r="G3" s="131">
        <v>73.900000000000006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新鴻基地產</v>
      </c>
      <c r="D4" s="292"/>
      <c r="E4" s="87"/>
      <c r="F4" s="3" t="s">
        <v>3</v>
      </c>
      <c r="G4" s="295">
        <f>Inputs!C10</f>
        <v>2897780274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45625</v>
      </c>
      <c r="D5" s="294"/>
      <c r="E5" s="34"/>
      <c r="F5" s="35" t="s">
        <v>97</v>
      </c>
      <c r="G5" s="287">
        <f>G3*G4/1000000</f>
        <v>214145.9622486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C0005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3.9977915643952019E-2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0.74162260082582199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8.7405603757025482E-2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0.33920623508169434</v>
      </c>
      <c r="F23" s="139" t="s">
        <v>176</v>
      </c>
      <c r="G23" s="176">
        <f>G3/(Data!C34*Data!C4/Common_Shares*Exchange_Rate)</f>
        <v>0.35044366734569304</v>
      </c>
    </row>
    <row r="24" spans="1:8" ht="15.75" customHeight="1" x14ac:dyDescent="0.4">
      <c r="B24" s="136" t="s">
        <v>257</v>
      </c>
      <c r="C24" s="170">
        <f>Fin_Analysis!I81</f>
        <v>5.6582664391799292E-2</v>
      </c>
      <c r="F24" s="139" t="s">
        <v>242</v>
      </c>
      <c r="G24" s="265">
        <f>G3/(Fin_Analysis!H86*G7)</f>
        <v>14.137645913694366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0.71740422430790074</v>
      </c>
    </row>
    <row r="26" spans="1:8" ht="15.75" customHeight="1" x14ac:dyDescent="0.4">
      <c r="B26" s="137" t="s">
        <v>259</v>
      </c>
      <c r="C26" s="170">
        <f>Fin_Analysis!I80+Fin_Analysis!I82</f>
        <v>5.719799737085E-3</v>
      </c>
      <c r="F26" s="140" t="s">
        <v>180</v>
      </c>
      <c r="G26" s="177">
        <f>Fin_Analysis!H88*Exchange_Rate/G3</f>
        <v>5.0744248985115016E-2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18.102173117589587</v>
      </c>
      <c r="D29" s="128">
        <f>G29*(1+G20)</f>
        <v>52.821799353176175</v>
      </c>
      <c r="E29" s="87"/>
      <c r="F29" s="130">
        <f>IF(Fin_Analysis!C108="Profit",Fin_Analysis!F100,IF(Fin_Analysis!C108="Dividend",Fin_Analysis!F103,Fin_Analysis!F106))</f>
        <v>21.29667425598775</v>
      </c>
      <c r="G29" s="286">
        <f>IF(Fin_Analysis!C108="Profit",Fin_Analysis!I100,IF(Fin_Analysis!C108="Dividend",Fin_Analysis!I103,Fin_Analysis!I106))</f>
        <v>45.931999437544505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disagree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45473</v>
      </c>
      <c r="E3" s="145" t="s">
        <v>187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199">
        <f>IF(Inputs!C25=""," ",Inputs!C25)</f>
        <v>71506</v>
      </c>
      <c r="D6" s="199">
        <f>IF(Inputs!D25="","",Inputs!D25)</f>
        <v>71195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39292</v>
      </c>
      <c r="D8" s="198">
        <f>IF(Inputs!D26="","",Inputs!D26)</f>
        <v>36737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32214</v>
      </c>
      <c r="D9" s="150">
        <f t="shared" si="2"/>
        <v>34458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7228</v>
      </c>
      <c r="D10" s="198">
        <f>IF(Inputs!D27="","",Inputs!D27)</f>
        <v>7324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730.718954248366</v>
      </c>
      <c r="D12" s="198">
        <f>IF(Inputs!D30="","",MAX(Inputs!D30,0)/(1-Fin_Analysis!$I$84))</f>
        <v>873.20261437908493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0.33920623508169434</v>
      </c>
      <c r="D13" s="226">
        <f t="shared" si="3"/>
        <v>0.36885732685751688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24255.281045751635</v>
      </c>
      <c r="D14" s="227">
        <f t="shared" ref="D14:M14" si="4">IF(D6="","",D9-D10-MAX(D11,0)-MAX(D12,0))</f>
        <v>26260.797385620914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-7.6369209602424257E-2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-2259</v>
      </c>
      <c r="D16" s="198">
        <f>IF(Inputs!D31="","",Inputs!D31)</f>
        <v>-1565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4046</v>
      </c>
      <c r="D17" s="198">
        <f>IF(Inputs!D29="","",Inputs!D29)</f>
        <v>3053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6.7197158280424024E-2</v>
      </c>
      <c r="D18" s="151">
        <f t="shared" si="6"/>
        <v>6.6928857363578897E-2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4805</v>
      </c>
      <c r="D19" s="198">
        <f>IF(Inputs!D32="","",Inputs!D32)</f>
        <v>4765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6.1477358543339022E-2</v>
      </c>
      <c r="D20" s="151">
        <f t="shared" si="7"/>
        <v>5.9863754477140249E-2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4396</v>
      </c>
      <c r="D21" s="198">
        <f>IF(Inputs!D33="","",Inputs!D33)</f>
        <v>4262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19800.281045751635</v>
      </c>
      <c r="D22" s="160">
        <f t="shared" ref="D22:M22" si="8">IF(D6="","",D14-MAX(D16,0)-MAX(D17,0)-ABS(MAX(D21,0)-MAX(D19,0)))</f>
        <v>22704.797385620914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0.21183138477889971</v>
      </c>
      <c r="D23" s="152">
        <f t="shared" si="9"/>
        <v>0.2439661493082379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-0.12792522613343046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818094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17115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502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207023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10498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116589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127087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611071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4354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698389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3.4730330869689581E-2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0.54949235029228316</v>
      </c>
      <c r="D40" s="155">
        <f t="shared" si="34"/>
        <v>0.51600533745347288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0.10108242664951193</v>
      </c>
      <c r="D41" s="152">
        <f t="shared" si="35"/>
        <v>0.10287239272420816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5.6582664391799292E-2</v>
      </c>
      <c r="D43" s="152">
        <f t="shared" si="37"/>
        <v>4.2882224875342372E-2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1.0218987976510586E-2</v>
      </c>
      <c r="D44" s="152">
        <f t="shared" si="38"/>
        <v>1.2264942964802092E-2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5.719799737085E-3</v>
      </c>
      <c r="D45" s="152">
        <f t="shared" si="39"/>
        <v>7.0651028864386544E-3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0.27690377095281005</v>
      </c>
      <c r="D46" s="152">
        <f t="shared" si="40"/>
        <v>0.31890999909573586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8.7405603757025482E-2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0.23935054401029285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7.0203898973512716E-3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-7.2636655948553051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0.74162260082582199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0.15580099495425681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0.20434053388692244</v>
      </c>
      <c r="D55" s="152">
        <f t="shared" si="47"/>
        <v>0.13446497443458727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3.9977915643952013E-2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3.2635118260657993E-2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611071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606717</v>
      </c>
      <c r="K3" s="24"/>
    </row>
    <row r="4" spans="1:11" ht="15" customHeight="1" x14ac:dyDescent="0.4">
      <c r="B4" s="3" t="s">
        <v>24</v>
      </c>
      <c r="C4" s="87"/>
      <c r="D4" s="198">
        <f>Inputs!C42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40428.799999999988</v>
      </c>
      <c r="E6" s="56">
        <f>1-D6/D3</f>
        <v>0.93383943927956004</v>
      </c>
      <c r="F6" s="87"/>
      <c r="G6" s="87"/>
      <c r="H6" s="1" t="s">
        <v>27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28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16221</v>
      </c>
      <c r="D11" s="197">
        <f>Inputs!D48</f>
        <v>0.9</v>
      </c>
      <c r="E11" s="88">
        <f t="shared" ref="E11:E22" si="0">C11*D11</f>
        <v>14598.9</v>
      </c>
      <c r="F11" s="112"/>
      <c r="G11" s="87"/>
      <c r="H11" s="3" t="s">
        <v>36</v>
      </c>
      <c r="I11" s="40">
        <f>Inputs!C73</f>
        <v>10498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17115</v>
      </c>
      <c r="D13" s="197">
        <f>Inputs!D50</f>
        <v>0.6</v>
      </c>
      <c r="E13" s="88">
        <f t="shared" si="0"/>
        <v>10269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748</v>
      </c>
      <c r="D15" s="197">
        <f>Inputs!D52</f>
        <v>0.5</v>
      </c>
      <c r="E15" s="88">
        <f t="shared" si="0"/>
        <v>374</v>
      </c>
      <c r="F15" s="112"/>
      <c r="G15" s="87"/>
      <c r="H15" s="1" t="s">
        <v>51</v>
      </c>
      <c r="I15" s="84">
        <f>SUM(I11:I14)</f>
        <v>10498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502</v>
      </c>
      <c r="D18" s="197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214077</v>
      </c>
      <c r="D19" s="197">
        <f>Inputs!D56</f>
        <v>0.6</v>
      </c>
      <c r="E19" s="88">
        <f t="shared" si="0"/>
        <v>128446.2</v>
      </c>
      <c r="F19" s="133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52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53</v>
      </c>
      <c r="I25" s="63">
        <f>E28/I28</f>
        <v>2.4824082435657617</v>
      </c>
    </row>
    <row r="26" spans="2:10" ht="15" customHeight="1" x14ac:dyDescent="0.4">
      <c r="B26" s="23" t="s">
        <v>54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55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4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116589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1681</v>
      </c>
      <c r="D32" s="197">
        <f>Inputs!D62</f>
        <v>0.5</v>
      </c>
      <c r="E32" s="88">
        <f t="shared" si="1"/>
        <v>840.5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116589</v>
      </c>
      <c r="J34" s="87"/>
    </row>
    <row r="35" spans="2:10" ht="13.9" x14ac:dyDescent="0.4">
      <c r="B35" s="3" t="s">
        <v>67</v>
      </c>
      <c r="C35" s="40">
        <f>Inputs!C65</f>
        <v>101055</v>
      </c>
      <c r="D35" s="197">
        <f>Inputs!D65</f>
        <v>0.1</v>
      </c>
      <c r="E35" s="88">
        <f t="shared" si="1"/>
        <v>10105.5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408424</v>
      </c>
      <c r="D36" s="197">
        <f>Inputs!D66</f>
        <v>0.2</v>
      </c>
      <c r="E36" s="88">
        <f t="shared" si="1"/>
        <v>81684.800000000003</v>
      </c>
      <c r="F36" s="133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50190</v>
      </c>
      <c r="D38" s="197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4338</v>
      </c>
      <c r="D40" s="197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3743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78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80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82</v>
      </c>
      <c r="I48" s="281">
        <f>I49-I28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83</v>
      </c>
      <c r="I49" s="40">
        <f>Inputs!C37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127087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16221</v>
      </c>
      <c r="D62" s="107">
        <f t="shared" si="2"/>
        <v>0.9</v>
      </c>
      <c r="E62" s="117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45473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71506</v>
      </c>
      <c r="D74" s="206"/>
      <c r="E74" s="235">
        <f>Inputs!E91</f>
        <v>71506</v>
      </c>
      <c r="F74" s="206"/>
      <c r="H74" s="235">
        <f>Inputs!F91</f>
        <v>71506</v>
      </c>
      <c r="I74" s="206"/>
      <c r="K74" s="24"/>
    </row>
    <row r="75" spans="1:11" ht="15" customHeight="1" x14ac:dyDescent="0.4">
      <c r="B75" s="104" t="s">
        <v>103</v>
      </c>
      <c r="C75" s="77">
        <f>Data!C8</f>
        <v>39292</v>
      </c>
      <c r="D75" s="158">
        <f>C75/$C$74</f>
        <v>0.54949235029228316</v>
      </c>
      <c r="E75" s="235">
        <f>Inputs!E92</f>
        <v>39292</v>
      </c>
      <c r="F75" s="159">
        <f>E75/E74</f>
        <v>0.54949235029228316</v>
      </c>
      <c r="H75" s="235">
        <f>Inputs!F92</f>
        <v>39292</v>
      </c>
      <c r="I75" s="159">
        <f>H75/$H$74</f>
        <v>0.54949235029228316</v>
      </c>
      <c r="K75" s="24"/>
    </row>
    <row r="76" spans="1:11" ht="15" customHeight="1" x14ac:dyDescent="0.4">
      <c r="B76" s="35" t="s">
        <v>93</v>
      </c>
      <c r="C76" s="160">
        <f>C74-C75</f>
        <v>32214</v>
      </c>
      <c r="D76" s="207"/>
      <c r="E76" s="161">
        <f>E74-E75</f>
        <v>32214</v>
      </c>
      <c r="F76" s="207"/>
      <c r="H76" s="161">
        <f>H74-H75</f>
        <v>32214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7228</v>
      </c>
      <c r="D77" s="158">
        <f>C77/$C$74</f>
        <v>0.10108242664951193</v>
      </c>
      <c r="E77" s="235">
        <f>Inputs!E93</f>
        <v>7228</v>
      </c>
      <c r="F77" s="159">
        <f>E77/E74</f>
        <v>0.10108242664951193</v>
      </c>
      <c r="H77" s="235">
        <f>Inputs!F93</f>
        <v>7228</v>
      </c>
      <c r="I77" s="159">
        <f>H77/$H$74</f>
        <v>0.10108242664951193</v>
      </c>
      <c r="K77" s="24"/>
    </row>
    <row r="78" spans="1:11" ht="15" customHeight="1" x14ac:dyDescent="0.4">
      <c r="B78" s="73" t="s">
        <v>162</v>
      </c>
      <c r="C78" s="77">
        <f>MAX(Data!C12,0)</f>
        <v>730.718954248366</v>
      </c>
      <c r="D78" s="158">
        <f>C78/$C$74</f>
        <v>1.0218987976510586E-2</v>
      </c>
      <c r="E78" s="179">
        <f>E74*F78</f>
        <v>730.718954248366</v>
      </c>
      <c r="F78" s="159">
        <f>I78</f>
        <v>1.0218987976510586E-2</v>
      </c>
      <c r="H78" s="235">
        <f>Inputs!F97</f>
        <v>730.718954248366</v>
      </c>
      <c r="I78" s="159">
        <f>H78/$H$74</f>
        <v>1.0218987976510586E-2</v>
      </c>
      <c r="K78" s="24"/>
    </row>
    <row r="79" spans="1:11" ht="15" customHeight="1" x14ac:dyDescent="0.4">
      <c r="B79" s="253" t="s">
        <v>218</v>
      </c>
      <c r="C79" s="254">
        <f>C76-C77-C78</f>
        <v>24255.281045751635</v>
      </c>
      <c r="D79" s="255">
        <f>C79/C74</f>
        <v>0.33920623508169434</v>
      </c>
      <c r="E79" s="256">
        <f>E76-E77-E78</f>
        <v>24255.281045751635</v>
      </c>
      <c r="F79" s="255">
        <f>E79/E74</f>
        <v>0.33920623508169434</v>
      </c>
      <c r="G79" s="257"/>
      <c r="H79" s="256">
        <f>H76-H77-H78</f>
        <v>24255.281045751635</v>
      </c>
      <c r="I79" s="255">
        <f>H79/H74</f>
        <v>0.33920623508169434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4046</v>
      </c>
      <c r="D81" s="158">
        <f>C81/$C$74</f>
        <v>5.6582664391799292E-2</v>
      </c>
      <c r="E81" s="179">
        <f>E74*F81</f>
        <v>4046</v>
      </c>
      <c r="F81" s="159">
        <f>I81</f>
        <v>5.6582664391799292E-2</v>
      </c>
      <c r="H81" s="235">
        <f>Inputs!F94</f>
        <v>4046</v>
      </c>
      <c r="I81" s="159">
        <f>H81/$H$74</f>
        <v>5.6582664391799292E-2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409</v>
      </c>
      <c r="D82" s="158">
        <f>C82/$C$74</f>
        <v>5.719799737085E-3</v>
      </c>
      <c r="E82" s="235">
        <f>Inputs!E95</f>
        <v>409</v>
      </c>
      <c r="F82" s="159">
        <f>E82/E74</f>
        <v>5.719799737085E-3</v>
      </c>
      <c r="H82" s="235">
        <f>Inputs!F95</f>
        <v>409</v>
      </c>
      <c r="I82" s="159">
        <f>H82/$H$74</f>
        <v>5.719799737085E-3</v>
      </c>
      <c r="K82" s="24"/>
    </row>
    <row r="83" spans="1:11" ht="15" customHeight="1" thickBot="1" x14ac:dyDescent="0.45">
      <c r="B83" s="105" t="s">
        <v>121</v>
      </c>
      <c r="C83" s="162">
        <f>C79-C81-C82-C80</f>
        <v>19800.281045751635</v>
      </c>
      <c r="D83" s="163">
        <f>C83/$C$74</f>
        <v>0.27690377095281005</v>
      </c>
      <c r="E83" s="164">
        <f>E79-E81-E82-E80</f>
        <v>19800.281045751635</v>
      </c>
      <c r="F83" s="163">
        <f>E83/E74</f>
        <v>0.27690377095281005</v>
      </c>
      <c r="H83" s="164">
        <f>H79-H81-H82-H80</f>
        <v>19800.281045751635</v>
      </c>
      <c r="I83" s="163">
        <f>H83/$H$74</f>
        <v>0.27690377095281005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15147.215000000002</v>
      </c>
      <c r="D85" s="255">
        <f>C85/$C$74</f>
        <v>0.21183138477889971</v>
      </c>
      <c r="E85" s="261">
        <f>E83*(1-F84)</f>
        <v>15147.215000000002</v>
      </c>
      <c r="F85" s="255">
        <f>E85/E74</f>
        <v>0.21183138477889971</v>
      </c>
      <c r="G85" s="257"/>
      <c r="H85" s="261">
        <f>H83*(1-I84)</f>
        <v>15147.215000000002</v>
      </c>
      <c r="I85" s="255">
        <f>H85/$H$74</f>
        <v>0.21183138477889971</v>
      </c>
      <c r="K85" s="24"/>
    </row>
    <row r="86" spans="1:11" ht="15" customHeight="1" x14ac:dyDescent="0.4">
      <c r="B86" s="87" t="s">
        <v>153</v>
      </c>
      <c r="C86" s="166">
        <f>C85*Data!C4/Common_Shares</f>
        <v>5.2271785876612675</v>
      </c>
      <c r="D86" s="206"/>
      <c r="E86" s="167">
        <f>E85*Data!C4/Common_Shares</f>
        <v>5.2271785876612675</v>
      </c>
      <c r="F86" s="206"/>
      <c r="H86" s="167">
        <f>H85*Data!C4/Common_Shares</f>
        <v>5.2271785876612675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7.0733133797852052E-2</v>
      </c>
      <c r="D87" s="206"/>
      <c r="E87" s="259">
        <f>E86*Exchange_Rate/Dashboard!G3</f>
        <v>7.0733133797852052E-2</v>
      </c>
      <c r="F87" s="206"/>
      <c r="H87" s="259">
        <f>H86*Exchange_Rate/Dashboard!G3</f>
        <v>7.0733133797852052E-2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3.75</v>
      </c>
      <c r="D88" s="165">
        <f>C88/C86</f>
        <v>0.71740422430790074</v>
      </c>
      <c r="E88" s="169">
        <f>Inputs!E98</f>
        <v>3.75</v>
      </c>
      <c r="F88" s="165">
        <f>E88/E86</f>
        <v>0.71740422430790074</v>
      </c>
      <c r="H88" s="169">
        <f>Inputs!F98</f>
        <v>3.75</v>
      </c>
      <c r="I88" s="165">
        <f>H88/H86</f>
        <v>0.71740422430790074</v>
      </c>
      <c r="K88" s="24"/>
    </row>
    <row r="89" spans="1:11" ht="15" customHeight="1" x14ac:dyDescent="0.4">
      <c r="B89" s="87" t="s">
        <v>207</v>
      </c>
      <c r="C89" s="258">
        <f>C88*Exchange_Rate/Dashboard!G3</f>
        <v>5.0744248985115016E-2</v>
      </c>
      <c r="D89" s="206"/>
      <c r="E89" s="258">
        <f>E88*Exchange_Rate/Dashboard!G3</f>
        <v>5.0744248985115016E-2</v>
      </c>
      <c r="F89" s="206"/>
      <c r="H89" s="258">
        <f>H88*Exchange_Rate/Dashboard!G3</f>
        <v>5.0744248985115016E-2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121.34497514617405</v>
      </c>
      <c r="H93" s="87" t="s">
        <v>196</v>
      </c>
      <c r="I93" s="143">
        <f>FV(H87,D93,0,-(H86/(C93-D94)))*Exchange_Rate</f>
        <v>121.34497514617405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79.225433546730542</v>
      </c>
      <c r="H94" s="87" t="s">
        <v>197</v>
      </c>
      <c r="I94" s="143">
        <f>FV(H89,D93,0,-(H88/(C93-D94)))*Exchange_Rate</f>
        <v>79.225433546730542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174822.79006080492</v>
      </c>
      <c r="D97" s="210"/>
      <c r="E97" s="122">
        <f>PV(C94,D93,0,-F93)</f>
        <v>60.329898588026943</v>
      </c>
      <c r="F97" s="210"/>
      <c r="H97" s="122">
        <f>PV(C94,D93,0,-I93)</f>
        <v>60.329898588026943</v>
      </c>
      <c r="I97" s="122">
        <f>PV(C93,D93,0,-I93)</f>
        <v>82.346803191571297</v>
      </c>
      <c r="K97" s="24"/>
    </row>
    <row r="98" spans="2:11" ht="15" customHeight="1" x14ac:dyDescent="0.4">
      <c r="B98" s="28" t="s">
        <v>140</v>
      </c>
      <c r="C98" s="91">
        <f>-E53*Exchange_Rate</f>
        <v>-4354</v>
      </c>
      <c r="D98" s="210"/>
      <c r="E98" s="210"/>
      <c r="F98" s="210"/>
      <c r="H98" s="122">
        <f>C98*Data!$C$4/Common_Shares</f>
        <v>-1.5025293805281801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-101168.1</v>
      </c>
      <c r="D99" s="211"/>
      <c r="E99" s="144">
        <f>IF(H99&gt;0,H99*(1-C94),H99*(1+C94))</f>
        <v>-40.149115529523407</v>
      </c>
      <c r="F99" s="211"/>
      <c r="H99" s="144">
        <f>C99*Data!$C$4/Common_Shares</f>
        <v>-34.912274373498619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69300.690060804918</v>
      </c>
      <c r="D100" s="109">
        <f>MIN(F100*(1-C94),E100)</f>
        <v>18.102173117589587</v>
      </c>
      <c r="E100" s="109">
        <f>MAX(E97+H98+E99,0)</f>
        <v>18.678253677975356</v>
      </c>
      <c r="F100" s="109">
        <f>(E100+H100)/2</f>
        <v>21.29667425598775</v>
      </c>
      <c r="H100" s="109">
        <f>MAX(C100*Data!$C$4/Common_Shares,0)</f>
        <v>23.915094834000143</v>
      </c>
      <c r="I100" s="109">
        <f>MAX(I97+H98+H99,0)</f>
        <v>45.931999437544505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114140.79008819198</v>
      </c>
      <c r="D103" s="109">
        <f>MIN(F103*(1-C94),E103)</f>
        <v>33.480686042851836</v>
      </c>
      <c r="E103" s="122">
        <f>PV(C94,D93,0,-F94)</f>
        <v>39.389042403355106</v>
      </c>
      <c r="F103" s="109">
        <f>(E103+H103)/2</f>
        <v>39.389042403355106</v>
      </c>
      <c r="H103" s="122">
        <f>PV(C94,D93,0,-I94)</f>
        <v>39.389042403355106</v>
      </c>
      <c r="I103" s="109">
        <f>PV(C93,D93,0,-I94)</f>
        <v>53.763752278828733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84133.132574498464</v>
      </c>
      <c r="D106" s="109">
        <f>(D100+D103)/2</f>
        <v>25.791429580220711</v>
      </c>
      <c r="E106" s="122">
        <f>(E100+E103)/2</f>
        <v>29.033648040665231</v>
      </c>
      <c r="F106" s="109">
        <f>(F100+F103)/2</f>
        <v>30.342858329671429</v>
      </c>
      <c r="H106" s="122">
        <f>(H100+H103)/2</f>
        <v>31.652068618677625</v>
      </c>
      <c r="I106" s="122">
        <f>(I100+I103)/2</f>
        <v>49.847875858186619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