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E4A28CC-E795-4270-88DE-739F180B1D7E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44" i="4" l="1"/>
  <c r="G44" i="4"/>
  <c r="F44" i="4"/>
  <c r="E44" i="4"/>
  <c r="C44" i="4"/>
  <c r="D44" i="4"/>
  <c r="D37" i="4"/>
  <c r="C37" i="4"/>
  <c r="I49" i="3" s="1"/>
  <c r="F97" i="4"/>
  <c r="F95" i="4"/>
  <c r="F94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32" i="4"/>
  <c r="E32" i="4"/>
  <c r="D32" i="4"/>
  <c r="C32" i="4"/>
  <c r="F31" i="4"/>
  <c r="E31" i="4"/>
  <c r="D31" i="4"/>
  <c r="C31" i="4"/>
  <c r="D4" i="3"/>
  <c r="D3" i="3"/>
  <c r="C34" i="2"/>
  <c r="C30" i="2"/>
  <c r="E34" i="2"/>
  <c r="F34" i="2"/>
  <c r="G34" i="2"/>
  <c r="H34" i="2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27" i="2" l="1"/>
  <c r="D27" i="2"/>
  <c r="E93" i="4"/>
  <c r="D53" i="4"/>
  <c r="H27" i="2"/>
  <c r="G27" i="2"/>
  <c r="E27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8" i="2" s="1"/>
  <c r="L45" i="2"/>
  <c r="K22" i="2"/>
  <c r="K58" i="2" s="1"/>
  <c r="K45" i="2"/>
  <c r="I22" i="2"/>
  <c r="I58" i="2" s="1"/>
  <c r="I45" i="2"/>
  <c r="J22" i="2"/>
  <c r="J58" i="2" s="1"/>
  <c r="J45" i="2"/>
  <c r="F45" i="2"/>
  <c r="C45" i="2"/>
  <c r="M22" i="2"/>
  <c r="M58" i="2" s="1"/>
  <c r="M45" i="2"/>
  <c r="L44" i="2"/>
  <c r="L14" i="2"/>
  <c r="I14" i="2"/>
  <c r="I57" i="2" s="1"/>
  <c r="I44" i="2"/>
  <c r="K44" i="2"/>
  <c r="K14" i="2"/>
  <c r="J14" i="2"/>
  <c r="J57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7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7" i="2"/>
  <c r="E22" i="2"/>
  <c r="E58" i="2" s="1"/>
  <c r="E57" i="2"/>
  <c r="F22" i="2"/>
  <c r="F58" i="2" s="1"/>
  <c r="F57" i="2"/>
  <c r="K15" i="2"/>
  <c r="L57" i="2"/>
  <c r="L15" i="2"/>
  <c r="M57" i="2"/>
  <c r="D22" i="2"/>
  <c r="D58" i="2" s="1"/>
  <c r="D57" i="2"/>
  <c r="G22" i="2"/>
  <c r="G58" i="2" s="1"/>
  <c r="G57" i="2"/>
  <c r="H103" i="3"/>
  <c r="I103" i="3"/>
  <c r="D93" i="4"/>
  <c r="D97" i="4"/>
  <c r="D92" i="4"/>
  <c r="C22" i="2"/>
  <c r="F3" i="2"/>
  <c r="H22" i="2"/>
  <c r="H58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6" i="2"/>
  <c r="E56" i="2"/>
  <c r="M56" i="2"/>
  <c r="K56" i="2"/>
  <c r="L56" i="2"/>
  <c r="D56" i="2"/>
  <c r="H77" i="3"/>
  <c r="H75" i="3"/>
  <c r="E74" i="3"/>
  <c r="H78" i="3"/>
  <c r="I15" i="2"/>
  <c r="J55" i="2"/>
  <c r="J13" i="2"/>
  <c r="J56" i="2" s="1"/>
  <c r="H13" i="2"/>
  <c r="H56" i="2" s="1"/>
  <c r="H55" i="2"/>
  <c r="F13" i="2"/>
  <c r="F56" i="2" s="1"/>
  <c r="F55" i="2"/>
  <c r="I13" i="2"/>
  <c r="I56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7" i="2"/>
  <c r="C58" i="2"/>
  <c r="D52" i="3"/>
  <c r="C98" i="3"/>
  <c r="D6" i="3"/>
  <c r="D53" i="3"/>
  <c r="C56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<sst xmlns="http://schemas.openxmlformats.org/spreadsheetml/2006/main" count="391" uniqueCount="273">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</sst>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7" zoomScaleNormal="100" workbookViewId="0">
      <selection activeCell="D27" sqref="D2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40" t="s">
        <v>179</v>
      </c>
      <c r="C4" s="186" t="s">
        <v>267</v>
      </c>
    </row>
    <row r="5" spans="1:5" ht="13.9" x14ac:dyDescent="0.4">
      <c r="B5" s="140" t="s">
        <v>180</v>
      </c>
      <c r="C5" s="189" t="s">
        <v>268</v>
      </c>
    </row>
    <row r="6" spans="1:5" ht="13.9" x14ac:dyDescent="0.4">
      <c r="B6" s="140" t="s">
        <v>154</v>
      </c>
      <c r="C6" s="187">
        <v>45639</v>
      </c>
    </row>
    <row r="7" spans="1:5" ht="13.9" x14ac:dyDescent="0.4">
      <c r="B7" s="139" t="s">
        <v>3</v>
      </c>
      <c r="C7" s="188">
        <v>8</v>
      </c>
    </row>
    <row r="8" spans="1:5" ht="13.9" x14ac:dyDescent="0.4">
      <c r="B8" s="139" t="s">
        <v>200</v>
      </c>
      <c r="C8" s="189" t="s">
        <v>269</v>
      </c>
      <c r="E8" s="263"/>
    </row>
    <row r="9" spans="1:5" ht="13.9" x14ac:dyDescent="0.4">
      <c r="B9" s="139" t="s">
        <v>201</v>
      </c>
      <c r="C9" s="190" t="s">
        <v>270</v>
      </c>
    </row>
    <row r="10" spans="1:5" ht="13.9" x14ac:dyDescent="0.4">
      <c r="B10" s="139" t="s">
        <v>202</v>
      </c>
      <c r="C10" s="191">
        <v>253069133</v>
      </c>
    </row>
    <row r="11" spans="1:5" ht="13.9" x14ac:dyDescent="0.4">
      <c r="B11" s="139" t="s">
        <v>203</v>
      </c>
      <c r="C11" s="190" t="s">
        <v>271</v>
      </c>
    </row>
    <row r="12" spans="1:5" ht="13.9" x14ac:dyDescent="0.4">
      <c r="B12" s="214" t="s">
        <v>9</v>
      </c>
      <c r="C12" s="215">
        <v>45382</v>
      </c>
    </row>
    <row r="13" spans="1:5" ht="13.9" x14ac:dyDescent="0.4">
      <c r="B13" s="214" t="s">
        <v>10</v>
      </c>
      <c r="C13" s="216">
        <v>1000</v>
      </c>
    </row>
    <row r="14" spans="1:5" ht="13.9" x14ac:dyDescent="0.4">
      <c r="B14" s="214" t="s">
        <v>204</v>
      </c>
      <c r="C14" s="215">
        <v>45473</v>
      </c>
    </row>
    <row r="15" spans="1:5" ht="13.9" x14ac:dyDescent="0.4">
      <c r="B15" s="214" t="s">
        <v>237</v>
      </c>
      <c r="C15" s="174" t="s">
        <v>175</v>
      </c>
    </row>
    <row r="16" spans="1:5" ht="13.9" x14ac:dyDescent="0.4">
      <c r="B16" s="218" t="s">
        <v>92</v>
      </c>
      <c r="C16" s="219">
        <v>0.23</v>
      </c>
      <c r="D16" s="24"/>
    </row>
    <row r="17" spans="2:13" ht="13.9" x14ac:dyDescent="0.4">
      <c r="B17" s="236" t="s">
        <v>208</v>
      </c>
      <c r="C17" s="238" t="s">
        <v>227</v>
      </c>
      <c r="D17" s="24"/>
    </row>
    <row r="18" spans="2:13" ht="13.9" x14ac:dyDescent="0.4">
      <c r="B18" s="236" t="s">
        <v>222</v>
      </c>
      <c r="C18" s="238" t="s">
        <v>227</v>
      </c>
      <c r="D18" s="24"/>
    </row>
    <row r="19" spans="2:13" ht="13.9" x14ac:dyDescent="0.4">
      <c r="B19" s="236" t="s">
        <v>223</v>
      </c>
      <c r="C19" s="238" t="s">
        <v>227</v>
      </c>
      <c r="D19" s="24"/>
    </row>
    <row r="20" spans="2:13" ht="13.9" x14ac:dyDescent="0.4">
      <c r="B20" s="237" t="s">
        <v>212</v>
      </c>
      <c r="C20" s="238" t="s">
        <v>227</v>
      </c>
      <c r="D20" s="24"/>
    </row>
    <row r="21" spans="2:13" ht="13.9" x14ac:dyDescent="0.4">
      <c r="B21" s="220" t="s">
        <v>215</v>
      </c>
      <c r="C21" s="238" t="s">
        <v>227</v>
      </c>
      <c r="D21" s="24"/>
    </row>
    <row r="22" spans="2:13" ht="78.75" x14ac:dyDescent="0.4">
      <c r="B22" s="222" t="s">
        <v>214</v>
      </c>
      <c r="C22" s="239" t="s">
        <v>240</v>
      </c>
      <c r="D22" s="24"/>
    </row>
    <row r="24" spans="2:13" ht="13.9" x14ac:dyDescent="0.4">
      <c r="B24" s="115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8">
        <v>2145700</v>
      </c>
      <c r="D25" s="148">
        <v>2241700</v>
      </c>
      <c r="E25" s="148">
        <v>2370500</v>
      </c>
      <c r="F25" s="148">
        <v>2372300</v>
      </c>
      <c r="G25" s="148">
        <v>2165500</v>
      </c>
      <c r="H25" s="148">
        <v>2161900</v>
      </c>
      <c r="I25" s="148"/>
      <c r="J25" s="148"/>
      <c r="K25" s="148"/>
      <c r="L25" s="148"/>
      <c r="M25" s="148"/>
    </row>
    <row r="26" spans="2:13" ht="13.9" x14ac:dyDescent="0.4">
      <c r="B26" s="97" t="s">
        <v>101</v>
      </c>
      <c r="C26" s="149">
        <v>1510800</v>
      </c>
      <c r="D26" s="149">
        <v>1608000</v>
      </c>
      <c r="E26" s="149">
        <v>1701400</v>
      </c>
      <c r="F26" s="149">
        <v>1645700</v>
      </c>
      <c r="G26" s="149">
        <v>1501900</v>
      </c>
      <c r="H26" s="149">
        <v>1525500</v>
      </c>
      <c r="I26" s="149"/>
      <c r="J26" s="149"/>
      <c r="K26" s="149"/>
      <c r="L26" s="149"/>
      <c r="M26" s="149"/>
    </row>
    <row r="27" spans="2:13" ht="13.9" x14ac:dyDescent="0.4">
      <c r="B27" s="97" t="s">
        <v>99</v>
      </c>
      <c r="C27" s="149">
        <v>356300</v>
      </c>
      <c r="D27" s="149">
        <v>371600</v>
      </c>
      <c r="E27" s="149">
        <v>380500</v>
      </c>
      <c r="F27" s="149">
        <v>378200</v>
      </c>
      <c r="G27" s="149">
        <v>368100</v>
      </c>
      <c r="H27" s="149">
        <v>371900</v>
      </c>
      <c r="I27" s="149"/>
      <c r="J27" s="149"/>
      <c r="K27" s="149"/>
      <c r="L27" s="149"/>
      <c r="M27" s="149"/>
    </row>
    <row r="28" spans="2:13" ht="13.9" x14ac:dyDescent="0.4">
      <c r="B28" s="97" t="s">
        <v>102</v>
      </c>
      <c r="C28" s="149">
        <v>81700</v>
      </c>
      <c r="D28" s="149">
        <v>83300</v>
      </c>
      <c r="E28" s="149">
        <v>84300</v>
      </c>
      <c r="F28" s="149">
        <v>86400</v>
      </c>
      <c r="G28" s="149">
        <v>81700</v>
      </c>
      <c r="H28" s="149">
        <v>77200</v>
      </c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4900</v>
      </c>
      <c r="D29" s="149">
        <v>12000</v>
      </c>
      <c r="E29" s="149">
        <v>9600</v>
      </c>
      <c r="F29" s="149">
        <v>7300</v>
      </c>
      <c r="G29" s="149">
        <v>7400</v>
      </c>
      <c r="H29" s="149">
        <v>900</v>
      </c>
      <c r="I29" s="149"/>
      <c r="J29" s="149"/>
      <c r="K29" s="149"/>
      <c r="L29" s="149"/>
      <c r="M29" s="149"/>
    </row>
    <row r="30" spans="2:13" ht="13.9" x14ac:dyDescent="0.4">
      <c r="B30" s="99" t="s">
        <v>106</v>
      </c>
      <c r="C30" s="149">
        <v>0</v>
      </c>
      <c r="D30" s="149">
        <v>0</v>
      </c>
      <c r="E30" s="149">
        <v>0</v>
      </c>
      <c r="F30" s="149">
        <v>0</v>
      </c>
      <c r="G30" s="149">
        <v>0</v>
      </c>
      <c r="H30" s="149">
        <v>0</v>
      </c>
      <c r="I30" s="149"/>
      <c r="J30" s="149"/>
      <c r="K30" s="149"/>
      <c r="L30" s="149"/>
      <c r="M30" s="149"/>
    </row>
    <row r="31" spans="2:13" ht="13.9" x14ac:dyDescent="0.4">
      <c r="B31" s="97" t="s">
        <v>105</v>
      </c>
      <c r="C31" s="149">
        <f>(-127.5-40.3+48.2+1.6+0.1)*1000</f>
        <v>-117900.00000000001</v>
      </c>
      <c r="D31" s="149">
        <f>(-77.8-60+100.3+2.7+0.3)*1000</f>
        <v>-34500.000000000015</v>
      </c>
      <c r="E31" s="149">
        <f>(139.3+63.6-109.2-1.9)*1000</f>
        <v>91800</v>
      </c>
      <c r="F31" s="149">
        <f>(41.4+49.7-67.5-2.2-0.2)*1000</f>
        <v>21199.999999999996</v>
      </c>
      <c r="G31" s="149">
        <v>11500</v>
      </c>
      <c r="H31" s="149">
        <v>-43500</v>
      </c>
      <c r="I31" s="149"/>
      <c r="J31" s="149"/>
      <c r="K31" s="149"/>
      <c r="L31" s="149"/>
      <c r="M31" s="149"/>
    </row>
    <row r="32" spans="2:13" ht="13.9" x14ac:dyDescent="0.4">
      <c r="B32" s="97" t="s">
        <v>100</v>
      </c>
      <c r="C32" s="149">
        <f>33200+21600+600</f>
        <v>55400</v>
      </c>
      <c r="D32" s="149">
        <f>34700+21100+700</f>
        <v>56500</v>
      </c>
      <c r="E32" s="149">
        <f>(41.4+22.4+0.8)*1000</f>
        <v>64599.999999999993</v>
      </c>
      <c r="F32" s="149">
        <f>(36.6+21.8+0.9)*1000</f>
        <v>59300.000000000007</v>
      </c>
      <c r="G32" s="149">
        <v>57200</v>
      </c>
      <c r="H32" s="149">
        <v>38000</v>
      </c>
      <c r="I32" s="149"/>
      <c r="J32" s="149"/>
      <c r="K32" s="149"/>
      <c r="L32" s="149"/>
      <c r="M32" s="149"/>
    </row>
    <row r="33" spans="2:13" ht="13.9" x14ac:dyDescent="0.4">
      <c r="B33" s="97" t="s">
        <v>103</v>
      </c>
      <c r="C33" s="149">
        <v>32400</v>
      </c>
      <c r="D33" s="149">
        <v>27900</v>
      </c>
      <c r="E33" s="149">
        <v>35900</v>
      </c>
      <c r="F33" s="149">
        <v>49400</v>
      </c>
      <c r="G33" s="149">
        <v>33200</v>
      </c>
      <c r="H33" s="149">
        <v>37300</v>
      </c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3"/>
      <c r="D34" s="149"/>
      <c r="E34" s="149">
        <v>1142200</v>
      </c>
      <c r="F34" s="149">
        <v>1080300</v>
      </c>
      <c r="G34" s="149">
        <v>889800</v>
      </c>
      <c r="H34" s="149">
        <v>929600</v>
      </c>
      <c r="I34" s="149"/>
      <c r="J34" s="149"/>
      <c r="K34" s="149"/>
      <c r="L34" s="149"/>
      <c r="M34" s="149"/>
    </row>
    <row r="35" spans="2:13" ht="13.9" x14ac:dyDescent="0.4">
      <c r="B35" s="94" t="s">
        <v>111</v>
      </c>
      <c r="C35" s="213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140</v>
      </c>
      <c r="C36" s="213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f>669800+139500</f>
        <v>809300</v>
      </c>
      <c r="D37" s="149">
        <f>517200+166500</f>
        <v>683700</v>
      </c>
      <c r="E37" s="149">
        <v>628000</v>
      </c>
      <c r="F37" s="149">
        <v>523000</v>
      </c>
      <c r="G37" s="149">
        <v>441900</v>
      </c>
      <c r="H37" s="149">
        <v>476500</v>
      </c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3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3"/>
      <c r="D39" s="149"/>
      <c r="E39" s="149">
        <v>20600</v>
      </c>
      <c r="F39" s="149">
        <v>17500</v>
      </c>
      <c r="G39" s="149">
        <v>17900</v>
      </c>
      <c r="H39" s="149">
        <v>0</v>
      </c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3"/>
      <c r="D40" s="149"/>
      <c r="E40" s="149">
        <v>176500</v>
      </c>
      <c r="F40" s="149">
        <v>188600</v>
      </c>
      <c r="G40" s="149">
        <v>147300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131</v>
      </c>
      <c r="C41" s="149">
        <v>627000</v>
      </c>
      <c r="D41" s="149">
        <v>634700</v>
      </c>
      <c r="E41" s="149">
        <v>678800</v>
      </c>
      <c r="F41" s="149">
        <v>731100</v>
      </c>
      <c r="G41" s="149">
        <v>601500</v>
      </c>
      <c r="H41" s="149">
        <v>607000</v>
      </c>
      <c r="I41" s="149"/>
      <c r="J41" s="149"/>
      <c r="K41" s="149"/>
      <c r="L41" s="149"/>
      <c r="M41" s="149"/>
    </row>
    <row r="42" spans="2:13" ht="13.9" x14ac:dyDescent="0.4">
      <c r="B42" s="94" t="s">
        <v>132</v>
      </c>
      <c r="C42" s="149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/>
      <c r="J42" s="149"/>
      <c r="K42" s="149"/>
      <c r="L42" s="149"/>
      <c r="M42" s="149"/>
    </row>
    <row r="43" spans="2:13" ht="13.9" x14ac:dyDescent="0.4">
      <c r="B43" s="94" t="s">
        <v>130</v>
      </c>
      <c r="C43" s="213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192</v>
      </c>
      <c r="C44" s="246">
        <f>0.48+0.17</f>
        <v>0.65</v>
      </c>
      <c r="D44" s="246">
        <f>0.42+0.17</f>
        <v>0.59</v>
      </c>
      <c r="E44" s="246">
        <f>0.51+0.17</f>
        <v>0.68</v>
      </c>
      <c r="F44" s="246">
        <f>0.74+0.17</f>
        <v>0.91</v>
      </c>
      <c r="G44" s="246">
        <f>0.36+0.17</f>
        <v>0.53</v>
      </c>
      <c r="H44" s="246">
        <f>0.5+0.17</f>
        <v>0.67</v>
      </c>
      <c r="I44" s="246"/>
      <c r="J44" s="246"/>
      <c r="K44" s="246"/>
      <c r="L44" s="246"/>
      <c r="M44" s="246"/>
    </row>
    <row r="45" spans="2:13" ht="13.9" x14ac:dyDescent="0.4">
      <c r="B45" s="74" t="s">
        <v>234</v>
      </c>
      <c r="C45" s="151">
        <f>IF(C44="","",C44*Exchange_Rate/Dashboard!$G$3)</f>
        <v>9.9470557972515042E-2</v>
      </c>
      <c r="D45" s="151">
        <f>IF(D44="","",D44*Exchange_Rate/Dashboard!$G$3)</f>
        <v>9.0288660313513652E-2</v>
      </c>
      <c r="E45" s="151">
        <f>IF(E44="","",E44*Exchange_Rate/Dashboard!$G$3)</f>
        <v>0.10406150680201574</v>
      </c>
      <c r="F45" s="151">
        <f>IF(F44="","",F44*Exchange_Rate/Dashboard!$G$3)</f>
        <v>0.13925878116152107</v>
      </c>
      <c r="G45" s="151">
        <f>IF(G44="","",G44*Exchange_Rate/Dashboard!$G$3)</f>
        <v>8.1106762654512263E-2</v>
      </c>
      <c r="H45" s="151">
        <f>IF(H44="","",H44*Exchange_Rate/Dashboard!$G$3)</f>
        <v>0.10253119052551551</v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2" t="s">
        <v>29</v>
      </c>
      <c r="D47" s="192" t="s">
        <v>181</v>
      </c>
      <c r="E47" s="111" t="s">
        <v>31</v>
      </c>
    </row>
    <row r="48" spans="2:13" ht="13.9" x14ac:dyDescent="0.4">
      <c r="B48" s="3" t="s">
        <v>33</v>
      </c>
      <c r="C48" s="59"/>
      <c r="D48" s="60">
        <v>0.9</v>
      </c>
      <c r="E48" s="112"/>
    </row>
    <row r="49" spans="2:5" ht="13.9" x14ac:dyDescent="0.4">
      <c r="B49" s="1" t="s">
        <v>129</v>
      </c>
      <c r="C49" s="59"/>
      <c r="D49" s="60">
        <v>0.8</v>
      </c>
      <c r="E49" s="112"/>
    </row>
    <row r="50" spans="2:5" ht="13.9" x14ac:dyDescent="0.4">
      <c r="B50" s="3" t="s">
        <v>111</v>
      </c>
      <c r="C50" s="59"/>
      <c r="D50" s="60">
        <f>D51</f>
        <v>0.6</v>
      </c>
      <c r="E50" s="112"/>
    </row>
    <row r="51" spans="2:5" ht="13.9" x14ac:dyDescent="0.4">
      <c r="B51" s="3" t="s">
        <v>37</v>
      </c>
      <c r="C51" s="59"/>
      <c r="D51" s="60">
        <v>0.6</v>
      </c>
      <c r="E51" s="112"/>
    </row>
    <row r="52" spans="2:5" ht="13.9" x14ac:dyDescent="0.4">
      <c r="B52" s="3" t="s">
        <v>39</v>
      </c>
      <c r="C52" s="59"/>
      <c r="D52" s="60">
        <v>0.5</v>
      </c>
      <c r="E52" s="112"/>
    </row>
    <row r="53" spans="2:5" ht="13.9" x14ac:dyDescent="0.4">
      <c r="B53" s="1" t="s">
        <v>149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42</v>
      </c>
      <c r="C55" s="59"/>
      <c r="D55" s="60">
        <f>D52</f>
        <v>0.5</v>
      </c>
      <c r="E55" s="112"/>
    </row>
    <row r="56" spans="2:5" ht="13.9" x14ac:dyDescent="0.4">
      <c r="B56" s="1" t="s">
        <v>43</v>
      </c>
      <c r="C56" s="59"/>
      <c r="D56" s="60">
        <f>D50</f>
        <v>0.6</v>
      </c>
      <c r="E56" s="217" t="s">
        <v>66</v>
      </c>
    </row>
    <row r="57" spans="2:5" ht="13.9" x14ac:dyDescent="0.4">
      <c r="B57" s="3" t="s">
        <v>114</v>
      </c>
      <c r="C57" s="59"/>
      <c r="D57" s="60">
        <v>0.6</v>
      </c>
      <c r="E57" s="217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2"/>
    </row>
    <row r="59" spans="2:5" ht="13.9" x14ac:dyDescent="0.4">
      <c r="B59" s="35" t="s">
        <v>46</v>
      </c>
      <c r="C59" s="119"/>
      <c r="D59" s="193">
        <f>D70</f>
        <v>0.05</v>
      </c>
      <c r="E59" s="112"/>
    </row>
    <row r="60" spans="2:5" ht="13.9" x14ac:dyDescent="0.4">
      <c r="B60" s="3" t="s">
        <v>56</v>
      </c>
      <c r="C60" s="59"/>
      <c r="D60" s="60">
        <f>D49</f>
        <v>0.8</v>
      </c>
      <c r="E60" s="112"/>
    </row>
    <row r="61" spans="2:5" ht="13.9" x14ac:dyDescent="0.4">
      <c r="B61" s="3" t="s">
        <v>58</v>
      </c>
      <c r="C61" s="59"/>
      <c r="D61" s="60">
        <f>D51</f>
        <v>0.6</v>
      </c>
      <c r="E61" s="112"/>
    </row>
    <row r="62" spans="2:5" ht="13.9" x14ac:dyDescent="0.4">
      <c r="B62" s="3" t="s">
        <v>60</v>
      </c>
      <c r="C62" s="59"/>
      <c r="D62" s="60">
        <f>D52</f>
        <v>0.5</v>
      </c>
      <c r="E62" s="112"/>
    </row>
    <row r="63" spans="2:5" ht="13.9" x14ac:dyDescent="0.4">
      <c r="B63" s="1" t="s">
        <v>150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65</v>
      </c>
      <c r="C65" s="59"/>
      <c r="D65" s="60">
        <v>0.1</v>
      </c>
      <c r="E65" s="217" t="s">
        <v>66</v>
      </c>
    </row>
    <row r="66" spans="2:5" ht="13.9" x14ac:dyDescent="0.4">
      <c r="B66" s="3" t="s">
        <v>67</v>
      </c>
      <c r="C66" s="59"/>
      <c r="D66" s="60">
        <v>0.2</v>
      </c>
      <c r="E66" s="217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7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2"/>
    </row>
    <row r="69" spans="2:5" ht="13.9" x14ac:dyDescent="0.4">
      <c r="B69" s="3" t="s">
        <v>68</v>
      </c>
      <c r="C69" s="59"/>
      <c r="D69" s="60">
        <f>D70</f>
        <v>0.05</v>
      </c>
      <c r="E69" s="112"/>
    </row>
    <row r="70" spans="2:5" ht="13.9" x14ac:dyDescent="0.4">
      <c r="B70" s="3" t="s">
        <v>69</v>
      </c>
      <c r="C70" s="59"/>
      <c r="D70" s="60">
        <v>0.05</v>
      </c>
      <c r="E70" s="112"/>
    </row>
    <row r="71" spans="2:5" ht="13.9" x14ac:dyDescent="0.4">
      <c r="B71" s="3" t="s">
        <v>70</v>
      </c>
      <c r="C71" s="59"/>
      <c r="D71" s="60">
        <f>D58</f>
        <v>0.9</v>
      </c>
      <c r="E71" s="112"/>
    </row>
    <row r="72" spans="2:5" ht="14.25" thickBot="1" x14ac:dyDescent="0.45">
      <c r="B72" s="242" t="s">
        <v>71</v>
      </c>
      <c r="C72" s="243"/>
      <c r="D72" s="244">
        <v>0</v>
      </c>
      <c r="E72" s="245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6" t="s">
        <v>38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6" t="s">
        <v>62</v>
      </c>
      <c r="C81" s="119"/>
    </row>
    <row r="82" spans="2:8" ht="14.25" hidden="1" thickBot="1" x14ac:dyDescent="0.45">
      <c r="B82" s="80" t="s">
        <v>265</v>
      </c>
      <c r="C82" s="213"/>
    </row>
    <row r="83" spans="2:8" ht="14.25" hidden="1" thickTop="1" x14ac:dyDescent="0.4">
      <c r="B83" s="73" t="s">
        <v>266</v>
      </c>
      <c r="C83" s="213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232</v>
      </c>
      <c r="C86" s="195">
        <v>5</v>
      </c>
    </row>
    <row r="87" spans="2:8" ht="13.9" x14ac:dyDescent="0.4">
      <c r="B87" s="10" t="s">
        <v>230</v>
      </c>
      <c r="C87" s="232" t="s">
        <v>233</v>
      </c>
      <c r="D87" s="265">
        <v>0.02</v>
      </c>
    </row>
    <row r="89" spans="2:8" ht="13.5" x14ac:dyDescent="0.35">
      <c r="B89" s="106" t="s">
        <v>121</v>
      </c>
      <c r="C89" s="282">
        <f>C24</f>
        <v>45382</v>
      </c>
      <c r="D89" s="282"/>
      <c r="E89" s="89" t="s">
        <v>191</v>
      </c>
      <c r="F89" s="89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3" t="s">
        <v>96</v>
      </c>
      <c r="D90" s="283"/>
      <c r="E90" s="231" t="s">
        <v>97</v>
      </c>
      <c r="F90" s="251" t="s">
        <v>97</v>
      </c>
    </row>
    <row r="91" spans="2:8" ht="13.9" x14ac:dyDescent="0.4">
      <c r="B91" s="3" t="s">
        <v>120</v>
      </c>
      <c r="C91" s="77">
        <f>C25</f>
        <v>2145700</v>
      </c>
      <c r="D91" s="205"/>
      <c r="E91" s="247">
        <f>C91</f>
        <v>2145700</v>
      </c>
      <c r="F91" s="247">
        <f>C91</f>
        <v>2145700</v>
      </c>
    </row>
    <row r="92" spans="2:8" ht="13.9" x14ac:dyDescent="0.4">
      <c r="B92" s="104" t="s">
        <v>101</v>
      </c>
      <c r="C92" s="77">
        <f>C26</f>
        <v>1510800</v>
      </c>
      <c r="D92" s="157">
        <f>C92/C91</f>
        <v>0.70410588619098657</v>
      </c>
      <c r="E92" s="248">
        <f>E91*D92</f>
        <v>1510800</v>
      </c>
      <c r="F92" s="248">
        <f>F91*D92</f>
        <v>1510800</v>
      </c>
    </row>
    <row r="93" spans="2:8" ht="13.9" x14ac:dyDescent="0.4">
      <c r="B93" s="104" t="s">
        <v>229</v>
      </c>
      <c r="C93" s="77">
        <f>C27+C28</f>
        <v>438000</v>
      </c>
      <c r="D93" s="157">
        <f>C93/C91</f>
        <v>0.20412918860977769</v>
      </c>
      <c r="E93" s="248">
        <f>E91*D93</f>
        <v>438000</v>
      </c>
      <c r="F93" s="248">
        <f>F91*D93</f>
        <v>438000</v>
      </c>
    </row>
    <row r="94" spans="2:8" ht="13.9" x14ac:dyDescent="0.4">
      <c r="B94" s="104" t="s">
        <v>238</v>
      </c>
      <c r="C94" s="77">
        <f>C29</f>
        <v>4900</v>
      </c>
      <c r="D94" s="157">
        <f>C94/C91</f>
        <v>2.2836370415249105E-3</v>
      </c>
      <c r="E94" s="249"/>
      <c r="F94" s="248">
        <f>F91*D94</f>
        <v>4900.0000000000009</v>
      </c>
    </row>
    <row r="95" spans="2:8" ht="13.9" x14ac:dyDescent="0.4">
      <c r="B95" s="28" t="s">
        <v>228</v>
      </c>
      <c r="C95" s="77">
        <f>ABS(MAX(C33,0)-C32)</f>
        <v>23000</v>
      </c>
      <c r="D95" s="157">
        <f>C95/C91</f>
        <v>1.0719112643892435E-2</v>
      </c>
      <c r="E95" s="248">
        <f>E91*D95</f>
        <v>23000</v>
      </c>
      <c r="F95" s="248">
        <f>F91*D95</f>
        <v>23000</v>
      </c>
    </row>
    <row r="96" spans="2:8" ht="13.9" x14ac:dyDescent="0.4">
      <c r="B96" s="28" t="s">
        <v>105</v>
      </c>
      <c r="C96" s="77">
        <f>MAX(C31,0)</f>
        <v>0</v>
      </c>
      <c r="D96" s="157">
        <f>C96/C91</f>
        <v>0</v>
      </c>
      <c r="E96" s="249"/>
      <c r="F96" s="248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7">
        <f>C97/C91</f>
        <v>0</v>
      </c>
      <c r="E97" s="249"/>
      <c r="F97" s="248">
        <f>F91*D97</f>
        <v>0</v>
      </c>
    </row>
    <row r="98" spans="2:7" ht="13.9" x14ac:dyDescent="0.4">
      <c r="B98" s="86" t="s">
        <v>192</v>
      </c>
      <c r="C98" s="233">
        <f>C44</f>
        <v>0.65</v>
      </c>
      <c r="D98" s="262"/>
      <c r="E98" s="250">
        <f>F98</f>
        <v>0.65</v>
      </c>
      <c r="F98" s="250">
        <f>C98</f>
        <v>0.65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 D34:M43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179</v>
      </c>
      <c r="C3" s="288" t="str">
        <f>Inputs!C4</f>
        <v>0303.HK</v>
      </c>
      <c r="D3" s="289"/>
      <c r="E3" s="87"/>
      <c r="F3" s="3" t="s">
        <v>1</v>
      </c>
      <c r="G3" s="131">
        <v>50.8</v>
      </c>
      <c r="H3" s="133" t="s">
        <v>272</v>
      </c>
    </row>
    <row r="4" spans="1:10" ht="15.75" customHeight="1" x14ac:dyDescent="0.4">
      <c r="B4" s="35" t="s">
        <v>180</v>
      </c>
      <c r="C4" s="290" t="str">
        <f>Inputs!C5</f>
        <v>VTECH</v>
      </c>
      <c r="D4" s="291"/>
      <c r="E4" s="87"/>
      <c r="F4" s="3" t="s">
        <v>2</v>
      </c>
      <c r="G4" s="294">
        <f>Inputs!C10</f>
        <v>253069133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45639</v>
      </c>
      <c r="D5" s="293"/>
      <c r="E5" s="34"/>
      <c r="F5" s="35" t="s">
        <v>95</v>
      </c>
      <c r="G5" s="286">
        <f>G3*G4/1000000</f>
        <v>12855.911956399999</v>
      </c>
      <c r="H5" s="286"/>
      <c r="I5" s="38"/>
      <c r="J5" s="28"/>
    </row>
    <row r="6" spans="1:10" ht="15.75" customHeight="1" x14ac:dyDescent="0.4">
      <c r="B6" s="87" t="s">
        <v>3</v>
      </c>
      <c r="C6" s="183">
        <f>Inputs!C7</f>
        <v>8</v>
      </c>
      <c r="D6" s="184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6" t="s">
        <v>177</v>
      </c>
      <c r="C7" s="185" t="str">
        <f>Inputs!C8</f>
        <v xml:space="preserve">Superior Cycl. </v>
      </c>
      <c r="D7" s="185" t="str">
        <f>Inputs!C9</f>
        <v>C0007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176</v>
      </c>
      <c r="F9" s="142" t="s">
        <v>171</v>
      </c>
    </row>
    <row r="10" spans="1:10" ht="15.75" customHeight="1" x14ac:dyDescent="0.4">
      <c r="B10" s="1" t="s">
        <v>162</v>
      </c>
      <c r="C10" s="170">
        <v>4.2000000000000003E-2</v>
      </c>
      <c r="F10" s="110" t="s">
        <v>169</v>
      </c>
    </row>
    <row r="11" spans="1:10" ht="15.75" customHeight="1" thickBot="1" x14ac:dyDescent="0.45">
      <c r="B11" s="121" t="s">
        <v>166</v>
      </c>
      <c r="C11" s="171">
        <v>5.2299999999999999E-2</v>
      </c>
      <c r="D11" s="136" t="s">
        <v>175</v>
      </c>
      <c r="F11" s="110" t="s">
        <v>164</v>
      </c>
    </row>
    <row r="12" spans="1:10" ht="15.75" customHeight="1" thickTop="1" x14ac:dyDescent="0.4">
      <c r="B12" s="87" t="s">
        <v>235</v>
      </c>
      <c r="C12" s="172">
        <v>7.4999999999999997E-2</v>
      </c>
      <c r="D12" s="170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163</v>
      </c>
      <c r="C14" s="170">
        <v>1.8100000000000002E-2</v>
      </c>
      <c r="F14" s="110" t="s">
        <v>168</v>
      </c>
    </row>
    <row r="15" spans="1:10" ht="15.75" customHeight="1" x14ac:dyDescent="0.4">
      <c r="B15" s="1" t="s">
        <v>172</v>
      </c>
      <c r="C15" s="170">
        <v>6.5000000000000002E-2</v>
      </c>
      <c r="F15" s="110" t="s">
        <v>167</v>
      </c>
    </row>
    <row r="16" spans="1:10" ht="15.75" customHeight="1" thickBot="1" x14ac:dyDescent="0.45">
      <c r="B16" s="121" t="s">
        <v>173</v>
      </c>
      <c r="C16" s="171">
        <v>0.16</v>
      </c>
      <c r="D16" s="261" t="str">
        <f>Inputs!C15</f>
        <v>HK</v>
      </c>
      <c r="F16" s="110" t="s">
        <v>165</v>
      </c>
    </row>
    <row r="17" spans="1:8" ht="15.75" customHeight="1" thickTop="1" x14ac:dyDescent="0.4">
      <c r="B17" s="87" t="s">
        <v>236</v>
      </c>
      <c r="C17" s="173">
        <v>8.6249999999999993E-2</v>
      </c>
      <c r="D17" s="174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47</v>
      </c>
      <c r="D19" s="87"/>
      <c r="E19" s="87"/>
      <c r="F19" s="141" t="s">
        <v>197</v>
      </c>
      <c r="G19" s="87"/>
      <c r="H19" s="87"/>
    </row>
    <row r="20" spans="1:8" ht="15.75" customHeight="1" thickBot="1" x14ac:dyDescent="0.45">
      <c r="B20" s="271" t="s">
        <v>250</v>
      </c>
      <c r="C20" s="272">
        <f>C23*C22*(1/C21)</f>
        <v>0.31403508771929822</v>
      </c>
      <c r="F20" s="87" t="s">
        <v>196</v>
      </c>
      <c r="G20" s="170">
        <v>0.15</v>
      </c>
    </row>
    <row r="21" spans="1:8" ht="15.75" customHeight="1" thickTop="1" x14ac:dyDescent="0.4">
      <c r="B21" s="273" t="s">
        <v>248</v>
      </c>
      <c r="C21" s="274">
        <f>Data!C53</f>
        <v>0.43653832764742739</v>
      </c>
      <c r="F21" s="87"/>
      <c r="G21" s="29"/>
    </row>
    <row r="22" spans="1:8" ht="15.75" customHeight="1" x14ac:dyDescent="0.4">
      <c r="B22" s="275" t="s">
        <v>263</v>
      </c>
      <c r="C22" s="276">
        <f>Data!C48</f>
        <v>1.4939079579475041</v>
      </c>
      <c r="F22" s="141" t="s">
        <v>170</v>
      </c>
    </row>
    <row r="23" spans="1:8" ht="15.75" customHeight="1" thickBot="1" x14ac:dyDescent="0.45">
      <c r="B23" s="277" t="s">
        <v>255</v>
      </c>
      <c r="C23" s="278">
        <f>Data!C13</f>
        <v>9.1764925199235681E-2</v>
      </c>
      <c r="F23" s="139" t="s">
        <v>174</v>
      </c>
      <c r="G23" s="175">
        <f>G3/(Data!C34*Data!C4/Common_Shares*Exchange_Rate)</f>
        <v>2.6374876755606778</v>
      </c>
    </row>
    <row r="24" spans="1:8" ht="15.75" customHeight="1" x14ac:dyDescent="0.4">
      <c r="B24" s="136" t="s">
        <v>256</v>
      </c>
      <c r="C24" s="169">
        <f>Fin_Analysis!I81</f>
        <v>2.2836370415249105E-3</v>
      </c>
      <c r="F24" s="139" t="s">
        <v>241</v>
      </c>
      <c r="G24" s="264">
        <f>G3/(Fin_Analysis!H86*G7)</f>
        <v>12.708097845051446</v>
      </c>
    </row>
    <row r="25" spans="1:8" ht="15.75" customHeight="1" x14ac:dyDescent="0.4">
      <c r="B25" s="136" t="s">
        <v>257</v>
      </c>
      <c r="C25" s="169">
        <f>Fin_Analysis!I80</f>
        <v>0</v>
      </c>
      <c r="F25" s="139" t="s">
        <v>161</v>
      </c>
      <c r="G25" s="169">
        <f>Fin_Analysis!I88</f>
        <v>1.2640815834165835</v>
      </c>
    </row>
    <row r="26" spans="1:8" ht="15.75" customHeight="1" x14ac:dyDescent="0.4">
      <c r="B26" s="137" t="s">
        <v>258</v>
      </c>
      <c r="C26" s="169">
        <f>Fin_Analysis!I80+Fin_Analysis!I82</f>
        <v>1.0719112643892435E-2</v>
      </c>
      <c r="F26" s="140" t="s">
        <v>178</v>
      </c>
      <c r="G26" s="176">
        <f>Fin_Analysis!H88*Exchange_Rate/G3</f>
        <v>9.9470557972515042E-2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157</v>
      </c>
      <c r="D28" s="43" t="s">
        <v>158</v>
      </c>
      <c r="E28" s="58"/>
      <c r="F28" s="53" t="s">
        <v>221</v>
      </c>
      <c r="G28" s="284" t="s">
        <v>239</v>
      </c>
      <c r="H28" s="284"/>
    </row>
    <row r="29" spans="1:8" ht="15.75" customHeight="1" x14ac:dyDescent="0.4">
      <c r="B29" s="87" t="s">
        <v>159</v>
      </c>
      <c r="C29" s="129">
        <f>IF(Fin_Analysis!C108="Profit",Fin_Analysis!D100,IF(Fin_Analysis!C108="Dividend",Fin_Analysis!D103,Fin_Analysis!D106))</f>
        <v>40.69531017641124</v>
      </c>
      <c r="D29" s="128">
        <f>G29*(1+G20)</f>
        <v>75.151460704822298</v>
      </c>
      <c r="E29" s="87"/>
      <c r="F29" s="130">
        <f>IF(Fin_Analysis!C108="Profit",Fin_Analysis!F100,IF(Fin_Analysis!C108="Dividend",Fin_Analysis!F103,Fin_Analysis!F106))</f>
        <v>47.876835501660281</v>
      </c>
      <c r="G29" s="285">
        <f>IF(Fin_Analysis!C108="Profit",Fin_Analysis!I100,IF(Fin_Analysis!C108="Dividend",Fin_Analysis!I103,Fin_Analysis!I106))</f>
        <v>65.349096265062869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4" t="s">
        <v>207</v>
      </c>
      <c r="C32" s="220"/>
    </row>
    <row r="33" spans="1:3" ht="15.75" customHeight="1" x14ac:dyDescent="0.4">
      <c r="A33"/>
      <c r="B33" s="20" t="s">
        <v>208</v>
      </c>
      <c r="C33" s="241" t="str">
        <f>Inputs!C17</f>
        <v>unclear</v>
      </c>
    </row>
    <row r="34" spans="1:3" ht="15.75" customHeight="1" x14ac:dyDescent="0.4">
      <c r="A34"/>
      <c r="B34" s="19" t="s">
        <v>209</v>
      </c>
      <c r="C34" s="221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4" t="s">
        <v>210</v>
      </c>
      <c r="C35" s="220"/>
    </row>
    <row r="36" spans="1:3" ht="15.75" customHeight="1" x14ac:dyDescent="0.4">
      <c r="A36"/>
      <c r="B36" s="20" t="s">
        <v>222</v>
      </c>
      <c r="C36" s="241" t="str">
        <f>Inputs!C18</f>
        <v>unclear</v>
      </c>
    </row>
    <row r="37" spans="1:3" ht="15.75" customHeight="1" x14ac:dyDescent="0.4">
      <c r="A37"/>
      <c r="B37" s="20" t="s">
        <v>223</v>
      </c>
      <c r="C37" s="241" t="str">
        <f>Inputs!C19</f>
        <v>unclear</v>
      </c>
    </row>
    <row r="38" spans="1:3" ht="15.75" customHeight="1" x14ac:dyDescent="0.4">
      <c r="A38"/>
      <c r="B38" s="194" t="s">
        <v>211</v>
      </c>
      <c r="C38" s="220"/>
    </row>
    <row r="39" spans="1:3" ht="15.75" customHeight="1" x14ac:dyDescent="0.4">
      <c r="A39"/>
      <c r="B39" s="19" t="s">
        <v>212</v>
      </c>
      <c r="C39" s="241" t="str">
        <f>Inputs!C20</f>
        <v>unclear</v>
      </c>
    </row>
    <row r="40" spans="1:3" ht="15.75" customHeight="1" x14ac:dyDescent="0.4">
      <c r="A40"/>
      <c r="B40" s="1" t="s">
        <v>215</v>
      </c>
      <c r="C40" s="241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2" t="s">
        <v>214</v>
      </c>
      <c r="C43" s="240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9"/>
  <sheetViews>
    <sheetView showGridLines="0" topLeftCell="A27" zoomScaleNormal="100" workbookViewId="0">
      <pane xSplit="2" topLeftCell="C1" activePane="topRight" state="frozen"/>
      <selection activeCell="A4" sqref="A4"/>
      <selection pane="topRight" activeCell="C53" sqref="C53:H5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184</v>
      </c>
      <c r="F2" s="118" t="s">
        <v>187</v>
      </c>
      <c r="G2" s="147" t="s">
        <v>188</v>
      </c>
      <c r="H2" s="146" t="s">
        <v>189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199">
        <f>Inputs!C12</f>
        <v>45382</v>
      </c>
      <c r="E3" s="145" t="s">
        <v>185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186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198">
        <f>IF(Inputs!C25=""," ",Inputs!C25)</f>
        <v>2145700</v>
      </c>
      <c r="D6" s="198">
        <f>IF(Inputs!D25="","",Inputs!D25)</f>
        <v>2241700</v>
      </c>
      <c r="E6" s="198">
        <f>IF(Inputs!E25="","",Inputs!E25)</f>
        <v>2370500</v>
      </c>
      <c r="F6" s="198">
        <f>IF(Inputs!F25="","",Inputs!F25)</f>
        <v>2372300</v>
      </c>
      <c r="G6" s="198">
        <f>IF(Inputs!G25="","",Inputs!G25)</f>
        <v>2165500</v>
      </c>
      <c r="H6" s="198">
        <f>IF(Inputs!H25="","",Inputs!H25)</f>
        <v>2161900</v>
      </c>
      <c r="I6" s="198" t="str">
        <f>IF(Inputs!I25="","",Inputs!I25)</f>
        <v/>
      </c>
      <c r="J6" s="198" t="str">
        <f>IF(Inputs!J25="","",Inputs!J25)</f>
        <v/>
      </c>
      <c r="K6" s="198" t="str">
        <f>IF(Inputs!K25="","",Inputs!K25)</f>
        <v/>
      </c>
      <c r="L6" s="198" t="str">
        <f>IF(Inputs!L25="","",Inputs!L25)</f>
        <v/>
      </c>
      <c r="M6" s="198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101</v>
      </c>
      <c r="C8" s="197">
        <f>IF(Inputs!C26="","",Inputs!C26)</f>
        <v>1510800</v>
      </c>
      <c r="D8" s="197">
        <f>IF(Inputs!D26="","",Inputs!D26)</f>
        <v>1608000</v>
      </c>
      <c r="E8" s="197">
        <f>IF(Inputs!E26="","",Inputs!E26)</f>
        <v>1701400</v>
      </c>
      <c r="F8" s="197">
        <f>IF(Inputs!F26="","",Inputs!F26)</f>
        <v>1645700</v>
      </c>
      <c r="G8" s="197">
        <f>IF(Inputs!G26="","",Inputs!G26)</f>
        <v>1501900</v>
      </c>
      <c r="H8" s="197">
        <f>IF(Inputs!H26="","",Inputs!H26)</f>
        <v>1525500</v>
      </c>
      <c r="I8" s="197" t="str">
        <f>IF(Inputs!I26="","",Inputs!I26)</f>
        <v/>
      </c>
      <c r="J8" s="197" t="str">
        <f>IF(Inputs!J26="","",Inputs!J26)</f>
        <v/>
      </c>
      <c r="K8" s="197" t="str">
        <f>IF(Inputs!K26="","",Inputs!K26)</f>
        <v/>
      </c>
      <c r="L8" s="197" t="str">
        <f>IF(Inputs!L26="","",Inputs!L26)</f>
        <v/>
      </c>
      <c r="M8" s="197" t="str">
        <f>IF(Inputs!M26="","",Inputs!M26)</f>
        <v/>
      </c>
      <c r="N8" s="87"/>
    </row>
    <row r="9" spans="1:14" ht="15.75" customHeight="1" x14ac:dyDescent="0.4">
      <c r="A9" s="4"/>
      <c r="B9" s="98" t="s">
        <v>98</v>
      </c>
      <c r="C9" s="150">
        <f t="shared" ref="C9:M9" si="2">IF(C6="","",(C6-C8))</f>
        <v>634900</v>
      </c>
      <c r="D9" s="150">
        <f t="shared" si="2"/>
        <v>633700</v>
      </c>
      <c r="E9" s="150">
        <f t="shared" si="2"/>
        <v>669100</v>
      </c>
      <c r="F9" s="150">
        <f t="shared" si="2"/>
        <v>726600</v>
      </c>
      <c r="G9" s="150">
        <f t="shared" si="2"/>
        <v>663600</v>
      </c>
      <c r="H9" s="150">
        <f t="shared" si="2"/>
        <v>636400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99</v>
      </c>
      <c r="C10" s="197">
        <f>IF(Inputs!C27="","",Inputs!C27)</f>
        <v>356300</v>
      </c>
      <c r="D10" s="197">
        <f>IF(Inputs!D27="","",Inputs!D27)</f>
        <v>371600</v>
      </c>
      <c r="E10" s="197">
        <f>IF(Inputs!E27="","",Inputs!E27)</f>
        <v>380500</v>
      </c>
      <c r="F10" s="197">
        <f>IF(Inputs!F27="","",Inputs!F27)</f>
        <v>378200</v>
      </c>
      <c r="G10" s="197">
        <f>IF(Inputs!G27="","",Inputs!G27)</f>
        <v>368100</v>
      </c>
      <c r="H10" s="197">
        <f>IF(Inputs!H27="","",Inputs!H27)</f>
        <v>371900</v>
      </c>
      <c r="I10" s="197" t="str">
        <f>IF(Inputs!I27="","",Inputs!I27)</f>
        <v/>
      </c>
      <c r="J10" s="197" t="str">
        <f>IF(Inputs!J27="","",Inputs!J27)</f>
        <v/>
      </c>
      <c r="K10" s="197" t="str">
        <f>IF(Inputs!K27="","",Inputs!K27)</f>
        <v/>
      </c>
      <c r="L10" s="197" t="str">
        <f>IF(Inputs!L27="","",Inputs!L27)</f>
        <v/>
      </c>
      <c r="M10" s="197" t="str">
        <f>IF(Inputs!M27="","",Inputs!M27)</f>
        <v/>
      </c>
      <c r="N10" s="87"/>
    </row>
    <row r="11" spans="1:14" ht="15.75" customHeight="1" x14ac:dyDescent="0.4">
      <c r="A11" s="4"/>
      <c r="B11" s="97" t="s">
        <v>102</v>
      </c>
      <c r="C11" s="197">
        <f>IF(Inputs!C28="","",Inputs!C28)</f>
        <v>81700</v>
      </c>
      <c r="D11" s="197">
        <f>IF(Inputs!D28="","",Inputs!D28)</f>
        <v>83300</v>
      </c>
      <c r="E11" s="197">
        <f>IF(Inputs!E28="","",Inputs!E28)</f>
        <v>84300</v>
      </c>
      <c r="F11" s="197">
        <f>IF(Inputs!F28="","",Inputs!F28)</f>
        <v>86400</v>
      </c>
      <c r="G11" s="197">
        <f>IF(Inputs!G28="","",Inputs!G28)</f>
        <v>81700</v>
      </c>
      <c r="H11" s="197">
        <f>IF(Inputs!H28="","",Inputs!H28)</f>
        <v>77200</v>
      </c>
      <c r="I11" s="197" t="str">
        <f>IF(Inputs!I28="","",Inputs!I28)</f>
        <v/>
      </c>
      <c r="J11" s="197" t="str">
        <f>IF(Inputs!J28="","",Inputs!J28)</f>
        <v/>
      </c>
      <c r="K11" s="197" t="str">
        <f>IF(Inputs!K28="","",Inputs!K28)</f>
        <v/>
      </c>
      <c r="L11" s="197" t="str">
        <f>IF(Inputs!L28="","",Inputs!L28)</f>
        <v/>
      </c>
      <c r="M11" s="197" t="str">
        <f>IF(Inputs!M28="","",Inputs!M28)</f>
        <v/>
      </c>
      <c r="N11" s="87"/>
    </row>
    <row r="12" spans="1:14" ht="15.75" customHeight="1" x14ac:dyDescent="0.4">
      <c r="A12" s="4"/>
      <c r="B12" s="99" t="s">
        <v>224</v>
      </c>
      <c r="C12" s="197">
        <f>IF(Inputs!C30="","",MAX(Inputs!C30,0)/(1-Fin_Analysis!$I$84))</f>
        <v>0</v>
      </c>
      <c r="D12" s="197">
        <f>IF(Inputs!D30="","",MAX(Inputs!D30,0)/(1-Fin_Analysis!$I$84))</f>
        <v>0</v>
      </c>
      <c r="E12" s="197">
        <f>IF(Inputs!E30="","",MAX(Inputs!E30,0)/(1-Fin_Analysis!$I$84))</f>
        <v>0</v>
      </c>
      <c r="F12" s="197">
        <f>IF(Inputs!F30="","",MAX(Inputs!F30,0)/(1-Fin_Analysis!$I$84))</f>
        <v>0</v>
      </c>
      <c r="G12" s="197">
        <f>IF(Inputs!G30="","",MAX(Inputs!G30,0)/(1-Fin_Analysis!$I$84))</f>
        <v>0</v>
      </c>
      <c r="H12" s="197">
        <f>IF(Inputs!H30="","",MAX(Inputs!H30,0)/(1-Fin_Analysis!$I$84))</f>
        <v>0</v>
      </c>
      <c r="I12" s="197" t="str">
        <f>IF(Inputs!I30="","",MAX(Inputs!I30,0)/(1-Fin_Analysis!$I$84))</f>
        <v/>
      </c>
      <c r="J12" s="197" t="str">
        <f>IF(Inputs!J30="","",MAX(Inputs!J30,0)/(1-Fin_Analysis!$I$84))</f>
        <v/>
      </c>
      <c r="K12" s="197" t="str">
        <f>IF(Inputs!K30="","",MAX(Inputs!K30,0)/(1-Fin_Analysis!$I$84))</f>
        <v/>
      </c>
      <c r="L12" s="197" t="str">
        <f>IF(Inputs!L30="","",MAX(Inputs!L30,0)/(1-Fin_Analysis!$I$84))</f>
        <v/>
      </c>
      <c r="M12" s="197" t="str">
        <f>IF(Inputs!M30="","",MAX(Inputs!M30,0)/(1-Fin_Analysis!$I$84))</f>
        <v/>
      </c>
      <c r="N12" s="87"/>
    </row>
    <row r="13" spans="1:14" ht="15.75" customHeight="1" x14ac:dyDescent="0.4">
      <c r="A13" s="4"/>
      <c r="B13" s="224" t="s">
        <v>225</v>
      </c>
      <c r="C13" s="225">
        <f t="shared" ref="C13:M13" si="3">IF(C14="","",C14/C6)</f>
        <v>9.1764925199235681E-2</v>
      </c>
      <c r="D13" s="225">
        <f t="shared" si="3"/>
        <v>7.9760895748762106E-2</v>
      </c>
      <c r="E13" s="225">
        <f t="shared" si="3"/>
        <v>8.6184349293398022E-2</v>
      </c>
      <c r="F13" s="225">
        <f t="shared" si="3"/>
        <v>0.11044134384352738</v>
      </c>
      <c r="G13" s="225">
        <f t="shared" si="3"/>
        <v>9.8730085430616482E-2</v>
      </c>
      <c r="H13" s="225">
        <f t="shared" si="3"/>
        <v>8.6636754706508168E-2</v>
      </c>
      <c r="I13" s="225" t="str">
        <f t="shared" si="3"/>
        <v/>
      </c>
      <c r="J13" s="225" t="str">
        <f t="shared" si="3"/>
        <v/>
      </c>
      <c r="K13" s="225" t="str">
        <f t="shared" si="3"/>
        <v/>
      </c>
      <c r="L13" s="225" t="str">
        <f t="shared" si="3"/>
        <v/>
      </c>
      <c r="M13" s="225" t="str">
        <f t="shared" si="3"/>
        <v/>
      </c>
      <c r="N13" s="87"/>
    </row>
    <row r="14" spans="1:14" ht="15.75" customHeight="1" x14ac:dyDescent="0.4">
      <c r="A14" s="4"/>
      <c r="B14" s="224" t="s">
        <v>217</v>
      </c>
      <c r="C14" s="226">
        <f>IF(C6="","",C9-C10-MAX(C11,0)-MAX(C12,0))</f>
        <v>196900</v>
      </c>
      <c r="D14" s="226">
        <f t="shared" ref="D14:M14" si="4">IF(D6="","",D9-D10-MAX(D11,0)-MAX(D12,0))</f>
        <v>178800</v>
      </c>
      <c r="E14" s="226">
        <f t="shared" si="4"/>
        <v>204300</v>
      </c>
      <c r="F14" s="226">
        <f t="shared" si="4"/>
        <v>262000</v>
      </c>
      <c r="G14" s="226">
        <f t="shared" si="4"/>
        <v>213800</v>
      </c>
      <c r="H14" s="226">
        <f t="shared" si="4"/>
        <v>187300</v>
      </c>
      <c r="I14" s="226" t="str">
        <f t="shared" si="4"/>
        <v/>
      </c>
      <c r="J14" s="226" t="str">
        <f t="shared" si="4"/>
        <v/>
      </c>
      <c r="K14" s="226" t="str">
        <f t="shared" si="4"/>
        <v/>
      </c>
      <c r="L14" s="226" t="str">
        <f t="shared" si="4"/>
        <v/>
      </c>
      <c r="M14" s="226" t="str">
        <f t="shared" si="4"/>
        <v/>
      </c>
      <c r="N14" s="87"/>
    </row>
    <row r="15" spans="1:14" ht="15.75" customHeight="1" x14ac:dyDescent="0.4">
      <c r="A15" s="4"/>
      <c r="B15" s="227" t="s">
        <v>226</v>
      </c>
      <c r="C15" s="228">
        <f>IF(D14="","",IF(ABS(C14+D14)=ABS(C14)+ABS(D14),IF(C14&lt;0,-1,1)*(C14-D14)/D14,"Turn"))</f>
        <v>0.10123042505592841</v>
      </c>
      <c r="D15" s="228">
        <f t="shared" ref="D15:M15" si="5">IF(E14="","",IF(ABS(D14+E14)=ABS(D14)+ABS(E14),IF(D14&lt;0,-1,1)*(D14-E14)/E14,"Turn"))</f>
        <v>-0.12481644640234948</v>
      </c>
      <c r="E15" s="228">
        <f t="shared" si="5"/>
        <v>-0.2202290076335878</v>
      </c>
      <c r="F15" s="228">
        <f t="shared" si="5"/>
        <v>0.225444340505145</v>
      </c>
      <c r="G15" s="228">
        <f t="shared" si="5"/>
        <v>0.1414842498665243</v>
      </c>
      <c r="H15" s="228" t="str">
        <f t="shared" si="5"/>
        <v/>
      </c>
      <c r="I15" s="228" t="str">
        <f t="shared" si="5"/>
        <v/>
      </c>
      <c r="J15" s="228" t="str">
        <f t="shared" si="5"/>
        <v/>
      </c>
      <c r="K15" s="228" t="str">
        <f t="shared" si="5"/>
        <v/>
      </c>
      <c r="L15" s="228" t="str">
        <f t="shared" si="5"/>
        <v/>
      </c>
      <c r="M15" s="228" t="str">
        <f t="shared" si="5"/>
        <v/>
      </c>
      <c r="N15" s="87"/>
    </row>
    <row r="16" spans="1:14" ht="15.75" customHeight="1" x14ac:dyDescent="0.4">
      <c r="A16" s="4"/>
      <c r="B16" s="97" t="s">
        <v>105</v>
      </c>
      <c r="C16" s="197">
        <f>IF(Inputs!C31="","",Inputs!C31)</f>
        <v>-117900.00000000001</v>
      </c>
      <c r="D16" s="197">
        <f>IF(Inputs!D31="","",Inputs!D31)</f>
        <v>-34500.000000000015</v>
      </c>
      <c r="E16" s="197">
        <f>IF(Inputs!E31="","",Inputs!E31)</f>
        <v>91800</v>
      </c>
      <c r="F16" s="197">
        <f>IF(Inputs!F31="","",Inputs!F31)</f>
        <v>21199.999999999996</v>
      </c>
      <c r="G16" s="197">
        <f>IF(Inputs!G31="","",Inputs!G31)</f>
        <v>11500</v>
      </c>
      <c r="H16" s="197">
        <f>IF(Inputs!H31="","",Inputs!H31)</f>
        <v>-43500</v>
      </c>
      <c r="I16" s="197" t="str">
        <f>IF(Inputs!I31="","",Inputs!I31)</f>
        <v/>
      </c>
      <c r="J16" s="197" t="str">
        <f>IF(Inputs!J31="","",Inputs!J31)</f>
        <v/>
      </c>
      <c r="K16" s="197" t="str">
        <f>IF(Inputs!K31="","",Inputs!K31)</f>
        <v/>
      </c>
      <c r="L16" s="197" t="str">
        <f>IF(Inputs!L31="","",Inputs!L31)</f>
        <v/>
      </c>
      <c r="M16" s="197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7">
        <f>IF(Inputs!C29="","",Inputs!C29)</f>
        <v>4900</v>
      </c>
      <c r="D17" s="197">
        <f>IF(Inputs!D29="","",Inputs!D29)</f>
        <v>12000</v>
      </c>
      <c r="E17" s="197">
        <f>IF(Inputs!E29="","",Inputs!E29)</f>
        <v>9600</v>
      </c>
      <c r="F17" s="197">
        <f>IF(Inputs!F29="","",Inputs!F29)</f>
        <v>7300</v>
      </c>
      <c r="G17" s="197">
        <f>IF(Inputs!G29="","",Inputs!G29)</f>
        <v>7400</v>
      </c>
      <c r="H17" s="197">
        <f>IF(Inputs!H29="","",Inputs!H29)</f>
        <v>900</v>
      </c>
      <c r="I17" s="197" t="str">
        <f>IF(Inputs!I29="","",Inputs!I29)</f>
        <v/>
      </c>
      <c r="J17" s="197" t="str">
        <f>IF(Inputs!J29="","",Inputs!J29)</f>
        <v/>
      </c>
      <c r="K17" s="197" t="str">
        <f>IF(Inputs!K29="","",Inputs!K29)</f>
        <v/>
      </c>
      <c r="L17" s="197" t="str">
        <f>IF(Inputs!L29="","",Inputs!L29)</f>
        <v/>
      </c>
      <c r="M17" s="197" t="str">
        <f>IF(Inputs!M29="","",Inputs!M29)</f>
        <v/>
      </c>
      <c r="N17" s="87"/>
    </row>
    <row r="18" spans="1:14" ht="15.75" customHeight="1" x14ac:dyDescent="0.4">
      <c r="A18" s="4"/>
      <c r="B18" s="94" t="s">
        <v>94</v>
      </c>
      <c r="C18" s="151">
        <f t="shared" ref="C18:M18" si="6">IF(OR(C6="",C19=""),"",C19/C6)</f>
        <v>2.5819080020506129E-2</v>
      </c>
      <c r="D18" s="151">
        <f t="shared" si="6"/>
        <v>2.5204086184592051E-2</v>
      </c>
      <c r="E18" s="151">
        <f t="shared" si="6"/>
        <v>2.7251634676228639E-2</v>
      </c>
      <c r="F18" s="151">
        <f t="shared" si="6"/>
        <v>2.4996838511149519E-2</v>
      </c>
      <c r="G18" s="151">
        <f t="shared" si="6"/>
        <v>2.6414223043177094E-2</v>
      </c>
      <c r="H18" s="151">
        <f t="shared" si="6"/>
        <v>1.7577131227161293E-2</v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100</v>
      </c>
      <c r="C19" s="197">
        <f>IF(Inputs!C32="","",Inputs!C32)</f>
        <v>55400</v>
      </c>
      <c r="D19" s="197">
        <f>IF(Inputs!D32="","",Inputs!D32)</f>
        <v>56500</v>
      </c>
      <c r="E19" s="197">
        <f>IF(Inputs!E32="","",Inputs!E32)</f>
        <v>64599.999999999993</v>
      </c>
      <c r="F19" s="197">
        <f>IF(Inputs!F32="","",Inputs!F32)</f>
        <v>59300.000000000007</v>
      </c>
      <c r="G19" s="197">
        <f>IF(Inputs!G32="","",Inputs!G32)</f>
        <v>57200</v>
      </c>
      <c r="H19" s="197">
        <f>IF(Inputs!H32="","",Inputs!H32)</f>
        <v>38000</v>
      </c>
      <c r="I19" s="197" t="str">
        <f>IF(Inputs!I32="","",Inputs!I32)</f>
        <v/>
      </c>
      <c r="J19" s="197" t="str">
        <f>IF(Inputs!J32="","",Inputs!J32)</f>
        <v/>
      </c>
      <c r="K19" s="197" t="str">
        <f>IF(Inputs!K32="","",Inputs!K32)</f>
        <v/>
      </c>
      <c r="L19" s="197" t="str">
        <f>IF(Inputs!L32="","",Inputs!L32)</f>
        <v/>
      </c>
      <c r="M19" s="197" t="str">
        <f>IF(Inputs!M32="","",Inputs!M32)</f>
        <v/>
      </c>
      <c r="N19" s="87"/>
    </row>
    <row r="20" spans="1:14" ht="15.75" customHeight="1" x14ac:dyDescent="0.4">
      <c r="A20" s="4"/>
      <c r="B20" s="97" t="s">
        <v>219</v>
      </c>
      <c r="C20" s="151">
        <f t="shared" ref="C20:M20" si="7">IF(C6="","",MAX(C21,0)/C6)</f>
        <v>1.5099967376613692E-2</v>
      </c>
      <c r="D20" s="151">
        <f t="shared" si="7"/>
        <v>1.2445911584957845E-2</v>
      </c>
      <c r="E20" s="151">
        <f t="shared" si="7"/>
        <v>1.5144484286015608E-2</v>
      </c>
      <c r="F20" s="151">
        <f t="shared" si="7"/>
        <v>2.0823673228512415E-2</v>
      </c>
      <c r="G20" s="151">
        <f t="shared" si="7"/>
        <v>1.5331332255830062E-2</v>
      </c>
      <c r="H20" s="151">
        <f t="shared" si="7"/>
        <v>1.7253341967713585E-2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103</v>
      </c>
      <c r="C21" s="197">
        <f>IF(Inputs!C33="","",Inputs!C33)</f>
        <v>32400</v>
      </c>
      <c r="D21" s="197">
        <f>IF(Inputs!D33="","",Inputs!D33)</f>
        <v>27900</v>
      </c>
      <c r="E21" s="197">
        <f>IF(Inputs!E33="","",Inputs!E33)</f>
        <v>35900</v>
      </c>
      <c r="F21" s="197">
        <f>IF(Inputs!F33="","",Inputs!F33)</f>
        <v>49400</v>
      </c>
      <c r="G21" s="197">
        <f>IF(Inputs!G33="","",Inputs!G33)</f>
        <v>33200</v>
      </c>
      <c r="H21" s="197">
        <f>IF(Inputs!H33="","",Inputs!H33)</f>
        <v>37300</v>
      </c>
      <c r="I21" s="197" t="str">
        <f>IF(Inputs!I33="","",Inputs!I33)</f>
        <v/>
      </c>
      <c r="J21" s="197" t="str">
        <f>IF(Inputs!J33="","",Inputs!J33)</f>
        <v/>
      </c>
      <c r="K21" s="197" t="str">
        <f>IF(Inputs!K33="","",Inputs!K33)</f>
        <v/>
      </c>
      <c r="L21" s="197" t="str">
        <f>IF(Inputs!L33="","",Inputs!L33)</f>
        <v/>
      </c>
      <c r="M21" s="197" t="str">
        <f>IF(Inputs!M33="","",Inputs!M33)</f>
        <v/>
      </c>
      <c r="N21" s="87"/>
    </row>
    <row r="22" spans="1:14" ht="15.75" customHeight="1" x14ac:dyDescent="0.4">
      <c r="A22" s="4"/>
      <c r="B22" s="98" t="s">
        <v>107</v>
      </c>
      <c r="C22" s="159">
        <f>IF(C6="","",C14-MAX(C16,0)-MAX(C17,0)-ABS(MAX(C21,0)-MAX(C19,0)))</f>
        <v>169000</v>
      </c>
      <c r="D22" s="159">
        <f t="shared" ref="D22:M22" si="8">IF(D6="","",D14-MAX(D16,0)-MAX(D17,0)-ABS(MAX(D21,0)-MAX(D19,0)))</f>
        <v>138200</v>
      </c>
      <c r="E22" s="159">
        <f t="shared" si="8"/>
        <v>74200</v>
      </c>
      <c r="F22" s="159">
        <f t="shared" si="8"/>
        <v>223600</v>
      </c>
      <c r="G22" s="159">
        <f t="shared" si="8"/>
        <v>170900</v>
      </c>
      <c r="H22" s="159">
        <f t="shared" si="8"/>
        <v>185700</v>
      </c>
      <c r="I22" s="159" t="str">
        <f t="shared" si="8"/>
        <v/>
      </c>
      <c r="J22" s="159" t="str">
        <f t="shared" si="8"/>
        <v/>
      </c>
      <c r="K22" s="159" t="str">
        <f t="shared" si="8"/>
        <v/>
      </c>
      <c r="L22" s="159" t="str">
        <f t="shared" si="8"/>
        <v/>
      </c>
      <c r="M22" s="159" t="str">
        <f t="shared" si="8"/>
        <v/>
      </c>
      <c r="N22" s="87"/>
    </row>
    <row r="23" spans="1:14" ht="15.75" customHeight="1" x14ac:dyDescent="0.4">
      <c r="A23" s="4"/>
      <c r="B23" s="100" t="s">
        <v>108</v>
      </c>
      <c r="C23" s="152">
        <f t="shared" ref="C23:M23" si="9">IF(C6="","",C24/C6)</f>
        <v>6.0646875145640121E-2</v>
      </c>
      <c r="D23" s="152">
        <f t="shared" si="9"/>
        <v>4.7470223491100506E-2</v>
      </c>
      <c r="E23" s="152">
        <f t="shared" si="9"/>
        <v>2.4102088167053365E-2</v>
      </c>
      <c r="F23" s="152">
        <f t="shared" si="9"/>
        <v>7.2575981115373264E-2</v>
      </c>
      <c r="G23" s="152">
        <f t="shared" si="9"/>
        <v>6.0767951974139922E-2</v>
      </c>
      <c r="H23" s="152">
        <f t="shared" si="9"/>
        <v>6.6140432027383317E-2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109</v>
      </c>
      <c r="C24" s="153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0" t="s">
        <v>122</v>
      </c>
      <c r="C25" s="229">
        <f>IF(D24="","",IF(ABS(C24+D24)=ABS(C24)+ABS(D24),IF(C24&lt;0,-1,1)*(C24-D24)/D24,"Turn"))</f>
        <v>0.22286541244573083</v>
      </c>
      <c r="D25" s="229">
        <f t="shared" ref="D25:M25" si="10">IF(E24="","",IF(ABS(D24+E24)=ABS(D24)+ABS(E24),IF(D24&lt;0,-1,1)*(D24-E24)/E24,"Turn"))</f>
        <v>0.86253369272237201</v>
      </c>
      <c r="E25" s="229">
        <f t="shared" si="10"/>
        <v>-0.66815742397137745</v>
      </c>
      <c r="F25" s="229">
        <f t="shared" si="10"/>
        <v>0.30836746635459333</v>
      </c>
      <c r="G25" s="229">
        <f t="shared" si="10"/>
        <v>-7.9698438341410882E-2</v>
      </c>
      <c r="H25" s="229" t="str">
        <f t="shared" si="10"/>
        <v/>
      </c>
      <c r="I25" s="229" t="str">
        <f t="shared" si="10"/>
        <v/>
      </c>
      <c r="J25" s="229" t="str">
        <f t="shared" si="10"/>
        <v/>
      </c>
      <c r="K25" s="229" t="str">
        <f t="shared" si="10"/>
        <v/>
      </c>
      <c r="L25" s="229" t="str">
        <f t="shared" si="10"/>
        <v/>
      </c>
      <c r="M25" s="229" t="str">
        <f t="shared" si="10"/>
        <v/>
      </c>
      <c r="N25" s="87"/>
    </row>
    <row r="26" spans="1:14" ht="15.75" customHeight="1" thickTop="1" x14ac:dyDescent="0.4">
      <c r="A26" s="16"/>
      <c r="B26" s="114" t="s">
        <v>128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1436300</v>
      </c>
      <c r="D27" s="65">
        <f>IF(D34="","",D34+D30)</f>
        <v>1318400</v>
      </c>
      <c r="E27" s="65">
        <f t="shared" ref="E27:M27" si="20">IF(E34="","",E34+E30)</f>
        <v>1306800</v>
      </c>
      <c r="F27" s="65">
        <f t="shared" si="20"/>
        <v>1254100</v>
      </c>
      <c r="G27" s="65">
        <f t="shared" si="20"/>
        <v>1043400</v>
      </c>
      <c r="H27" s="65">
        <f t="shared" si="20"/>
        <v>1083500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111</v>
      </c>
      <c r="C28" s="65">
        <f>Fin_Analysis!C13</f>
        <v>0</v>
      </c>
      <c r="D28" s="197" t="str">
        <f>IF(Inputs!D35="","",Inputs!D35)</f>
        <v/>
      </c>
      <c r="E28" s="197" t="str">
        <f>IF(Inputs!E35="","",Inputs!E35)</f>
        <v/>
      </c>
      <c r="F28" s="197" t="str">
        <f>IF(Inputs!F35="","",Inputs!F35)</f>
        <v/>
      </c>
      <c r="G28" s="197" t="str">
        <f>IF(Inputs!G35="","",Inputs!G35)</f>
        <v/>
      </c>
      <c r="H28" s="197" t="str">
        <f>IF(Inputs!H35="","",Inputs!H35)</f>
        <v/>
      </c>
      <c r="I28" s="197" t="str">
        <f>IF(Inputs!I35="","",Inputs!I35)</f>
        <v/>
      </c>
      <c r="J28" s="197" t="str">
        <f>IF(Inputs!J35="","",Inputs!J35)</f>
        <v/>
      </c>
      <c r="K28" s="197" t="str">
        <f>IF(Inputs!K35="","",Inputs!K35)</f>
        <v/>
      </c>
      <c r="L28" s="197" t="str">
        <f>IF(Inputs!L35="","",Inputs!L35)</f>
        <v/>
      </c>
      <c r="M28" s="197" t="str">
        <f>IF(Inputs!M35="","",Inputs!M35)</f>
        <v/>
      </c>
      <c r="N28" s="87"/>
    </row>
    <row r="29" spans="1:14" ht="15.75" customHeight="1" x14ac:dyDescent="0.4">
      <c r="A29" s="4"/>
      <c r="B29" s="94" t="s">
        <v>140</v>
      </c>
      <c r="C29" s="65">
        <f>Fin_Analysis!C18</f>
        <v>0</v>
      </c>
      <c r="D29" s="197" t="str">
        <f>IF(Inputs!D36="","",Inputs!D36)</f>
        <v/>
      </c>
      <c r="E29" s="197" t="str">
        <f>IF(Inputs!E36="","",Inputs!E36)</f>
        <v/>
      </c>
      <c r="F29" s="197" t="str">
        <f>IF(Inputs!F36="","",Inputs!F36)</f>
        <v/>
      </c>
      <c r="G29" s="197" t="str">
        <f>IF(Inputs!G36="","",Inputs!G36)</f>
        <v/>
      </c>
      <c r="H29" s="197" t="str">
        <f>IF(Inputs!H36="","",Inputs!H36)</f>
        <v/>
      </c>
      <c r="I29" s="197" t="str">
        <f>IF(Inputs!I36="","",Inputs!I36)</f>
        <v/>
      </c>
      <c r="J29" s="197" t="str">
        <f>IF(Inputs!J36="","",Inputs!J36)</f>
        <v/>
      </c>
      <c r="K29" s="197" t="str">
        <f>IF(Inputs!K36="","",Inputs!K36)</f>
        <v/>
      </c>
      <c r="L29" s="197" t="str">
        <f>IF(Inputs!L36="","",Inputs!L36)</f>
        <v/>
      </c>
      <c r="M29" s="197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809300</v>
      </c>
      <c r="D30" s="197">
        <f>IF(Inputs!D37="","",Inputs!D37)</f>
        <v>683700</v>
      </c>
      <c r="E30" s="197">
        <f>IF(Inputs!E37="","",Inputs!E37)</f>
        <v>628000</v>
      </c>
      <c r="F30" s="197">
        <f>IF(Inputs!F37="","",Inputs!F37)</f>
        <v>523000</v>
      </c>
      <c r="G30" s="197">
        <f>IF(Inputs!G37="","",Inputs!G37)</f>
        <v>441900</v>
      </c>
      <c r="H30" s="197">
        <f>IF(Inputs!H37="","",Inputs!H37)</f>
        <v>476500</v>
      </c>
      <c r="I30" s="197" t="str">
        <f>IF(Inputs!I37="","",Inputs!I37)</f>
        <v/>
      </c>
      <c r="J30" s="197" t="str">
        <f>IF(Inputs!J37="","",Inputs!J37)</f>
        <v/>
      </c>
      <c r="K30" s="197" t="str">
        <f>IF(Inputs!K37="","",Inputs!K37)</f>
        <v/>
      </c>
      <c r="L30" s="197" t="str">
        <f>IF(Inputs!L37="","",Inputs!L37)</f>
        <v/>
      </c>
      <c r="M30" s="197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7" t="str">
        <f>IF(Inputs!D39="","",Inputs!D39)</f>
        <v/>
      </c>
      <c r="E31" s="197">
        <f>IF(Inputs!E39="","",Inputs!E39)</f>
        <v>20600</v>
      </c>
      <c r="F31" s="197">
        <f>IF(Inputs!F39="","",Inputs!F39)</f>
        <v>17500</v>
      </c>
      <c r="G31" s="197">
        <f>IF(Inputs!G39="","",Inputs!G39)</f>
        <v>17900</v>
      </c>
      <c r="H31" s="197">
        <f>IF(Inputs!H39="","",Inputs!H39)</f>
        <v>0</v>
      </c>
      <c r="I31" s="197" t="str">
        <f>IF(Inputs!I39="","",Inputs!I39)</f>
        <v/>
      </c>
      <c r="J31" s="197" t="str">
        <f>IF(Inputs!J39="","",Inputs!J39)</f>
        <v/>
      </c>
      <c r="K31" s="197" t="str">
        <f>IF(Inputs!K39="","",Inputs!K39)</f>
        <v/>
      </c>
      <c r="L31" s="197" t="str">
        <f>IF(Inputs!L39="","",Inputs!L39)</f>
        <v/>
      </c>
      <c r="M31" s="197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7" t="str">
        <f>IF(Inputs!D40="","",Inputs!D40)</f>
        <v/>
      </c>
      <c r="E32" s="197">
        <f>IF(Inputs!E40="","",Inputs!E40)</f>
        <v>176500</v>
      </c>
      <c r="F32" s="197">
        <f>IF(Inputs!F40="","",Inputs!F40)</f>
        <v>188600</v>
      </c>
      <c r="G32" s="197">
        <f>IF(Inputs!G40="","",Inputs!G40)</f>
        <v>147300</v>
      </c>
      <c r="H32" s="197">
        <f>IF(Inputs!H40="","",Inputs!H40)</f>
        <v>0</v>
      </c>
      <c r="I32" s="197" t="str">
        <f>IF(Inputs!I40="","",Inputs!I40)</f>
        <v/>
      </c>
      <c r="J32" s="197" t="str">
        <f>IF(Inputs!J40="","",Inputs!J40)</f>
        <v/>
      </c>
      <c r="K32" s="197" t="str">
        <f>IF(Inputs!K40="","",Inputs!K40)</f>
        <v/>
      </c>
      <c r="L32" s="197" t="str">
        <f>IF(Inputs!L40="","",Inputs!L40)</f>
        <v/>
      </c>
      <c r="M32" s="197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>
        <f t="shared" ref="E33" si="23">IF(OR(E31="",E32=""),"",E31+E32)</f>
        <v>197100</v>
      </c>
      <c r="F33" s="77">
        <f t="shared" ref="F33" si="24">IF(OR(F31="",F32=""),"",F31+F32)</f>
        <v>206100</v>
      </c>
      <c r="G33" s="77">
        <f t="shared" ref="G33" si="25">IF(OR(G31="",G32=""),"",G31+G32)</f>
        <v>165200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131</v>
      </c>
      <c r="C34" s="65">
        <f>Inputs!C41</f>
        <v>627000</v>
      </c>
      <c r="D34" s="197">
        <f>IF(Inputs!D41="","",Inputs!D41)</f>
        <v>634700</v>
      </c>
      <c r="E34" s="197">
        <f>IF(Inputs!E41="","",Inputs!E41)</f>
        <v>678800</v>
      </c>
      <c r="F34" s="197">
        <f>IF(Inputs!F41="","",Inputs!F41)</f>
        <v>731100</v>
      </c>
      <c r="G34" s="197">
        <f>IF(Inputs!G41="","",Inputs!G41)</f>
        <v>601500</v>
      </c>
      <c r="H34" s="197">
        <f>IF(Inputs!H41="","",Inputs!H41)</f>
        <v>607000</v>
      </c>
      <c r="I34" s="197" t="str">
        <f>IF(Inputs!I41="","",Inputs!I41)</f>
        <v/>
      </c>
      <c r="J34" s="197" t="str">
        <f>IF(Inputs!J41="","",Inputs!J41)</f>
        <v/>
      </c>
      <c r="K34" s="197" t="str">
        <f>IF(Inputs!K41="","",Inputs!K41)</f>
        <v/>
      </c>
      <c r="L34" s="197" t="str">
        <f>IF(Inputs!L41="","",Inputs!L41)</f>
        <v/>
      </c>
      <c r="M34" s="197" t="str">
        <f>IF(Inputs!M41="","",Inputs!M41)</f>
        <v/>
      </c>
      <c r="N34" s="87"/>
    </row>
    <row r="35" spans="1:14" ht="15.75" customHeight="1" x14ac:dyDescent="0.4">
      <c r="A35" s="4"/>
      <c r="B35" s="94" t="s">
        <v>132</v>
      </c>
      <c r="C35" s="65">
        <f>Inputs!C42</f>
        <v>0</v>
      </c>
      <c r="D35" s="197">
        <f>IF(Inputs!D42="","",Inputs!D42)</f>
        <v>0</v>
      </c>
      <c r="E35" s="197">
        <f>IF(Inputs!E42="","",Inputs!E42)</f>
        <v>0</v>
      </c>
      <c r="F35" s="197">
        <f>IF(Inputs!F42="","",Inputs!F42)</f>
        <v>0</v>
      </c>
      <c r="G35" s="197">
        <f>IF(Inputs!G42="","",Inputs!G42)</f>
        <v>0</v>
      </c>
      <c r="H35" s="197">
        <f>IF(Inputs!H42="","",Inputs!H42)</f>
        <v>0</v>
      </c>
      <c r="I35" s="197" t="str">
        <f>IF(Inputs!I42="","",Inputs!I42)</f>
        <v/>
      </c>
      <c r="J35" s="197" t="str">
        <f>IF(Inputs!J42="","",Inputs!J42)</f>
        <v/>
      </c>
      <c r="K35" s="197" t="str">
        <f>IF(Inputs!K42="","",Inputs!K42)</f>
        <v/>
      </c>
      <c r="L35" s="197" t="str">
        <f>IF(Inputs!L42="","",Inputs!L42)</f>
        <v/>
      </c>
      <c r="M35" s="197" t="str">
        <f>IF(Inputs!M42="","",Inputs!M42)</f>
        <v/>
      </c>
      <c r="N35" s="87"/>
    </row>
    <row r="36" spans="1:14" ht="15.75" customHeight="1" x14ac:dyDescent="0.4">
      <c r="A36" s="4"/>
      <c r="B36" s="94" t="s">
        <v>130</v>
      </c>
      <c r="C36" s="65">
        <f>Inputs!C40</f>
        <v>0</v>
      </c>
      <c r="D36" s="197" t="str">
        <f>IF(Inputs!D43="","",Inputs!D43)</f>
        <v/>
      </c>
      <c r="E36" s="197" t="str">
        <f>IF(Inputs!E43="","",Inputs!E43)</f>
        <v/>
      </c>
      <c r="F36" s="197" t="str">
        <f>IF(Inputs!F43="","",Inputs!F43)</f>
        <v/>
      </c>
      <c r="G36" s="197" t="str">
        <f>IF(Inputs!G43="","",Inputs!G43)</f>
        <v/>
      </c>
      <c r="H36" s="197" t="str">
        <f>IF(Inputs!H43="","",Inputs!H43)</f>
        <v/>
      </c>
      <c r="I36" s="197" t="str">
        <f>IF(Inputs!I43="","",Inputs!I43)</f>
        <v/>
      </c>
      <c r="J36" s="197" t="str">
        <f>IF(Inputs!J43="","",Inputs!J43)</f>
        <v/>
      </c>
      <c r="K36" s="197" t="str">
        <f>IF(Inputs!K43="","",Inputs!K43)</f>
        <v/>
      </c>
      <c r="L36" s="197" t="str">
        <f>IF(Inputs!L43="","",Inputs!L43)</f>
        <v/>
      </c>
      <c r="M36" s="197" t="str">
        <f>IF(Inputs!M43="","",Inputs!M43)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148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93</v>
      </c>
      <c r="C40" s="155">
        <f t="shared" ref="C40:M40" si="34">IF(C6="","",C8/C6)</f>
        <v>0.70410588619098657</v>
      </c>
      <c r="D40" s="155">
        <f t="shared" si="34"/>
        <v>0.7173127537136994</v>
      </c>
      <c r="E40" s="155">
        <f t="shared" si="34"/>
        <v>0.71773887365534694</v>
      </c>
      <c r="F40" s="155">
        <f t="shared" si="34"/>
        <v>0.69371496016524048</v>
      </c>
      <c r="G40" s="155">
        <f t="shared" si="34"/>
        <v>0.69355806972985456</v>
      </c>
      <c r="H40" s="155">
        <f t="shared" si="34"/>
        <v>0.70562930755354092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218</v>
      </c>
      <c r="C41" s="152">
        <f t="shared" ref="C41:M41" si="35">IF(C6="","",(C10+MAX(C11,0))/C6)</f>
        <v>0.20412918860977769</v>
      </c>
      <c r="D41" s="152">
        <f t="shared" si="35"/>
        <v>0.20292635053753846</v>
      </c>
      <c r="E41" s="152">
        <f t="shared" si="35"/>
        <v>0.19607677705125501</v>
      </c>
      <c r="F41" s="152">
        <f t="shared" si="35"/>
        <v>0.19584369599123214</v>
      </c>
      <c r="G41" s="152">
        <f t="shared" si="35"/>
        <v>0.20771184483952898</v>
      </c>
      <c r="H41" s="152">
        <f t="shared" si="35"/>
        <v>0.20773393773995097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104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3.8726007171482807E-2</v>
      </c>
      <c r="F42" s="152">
        <f t="shared" si="36"/>
        <v>8.9364751506976342E-3</v>
      </c>
      <c r="G42" s="152">
        <f t="shared" si="36"/>
        <v>5.3105518356037868E-3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116</v>
      </c>
      <c r="C43" s="152">
        <f t="shared" ref="C43:M43" si="37">IF(C6="","",MAX(C17,0)/C6)</f>
        <v>2.2836370415249105E-3</v>
      </c>
      <c r="D43" s="152">
        <f t="shared" si="37"/>
        <v>5.3530802515947716E-3</v>
      </c>
      <c r="E43" s="152">
        <f t="shared" si="37"/>
        <v>4.0497785277367644E-3</v>
      </c>
      <c r="F43" s="152">
        <f t="shared" si="37"/>
        <v>3.07718248113645E-3</v>
      </c>
      <c r="G43" s="152">
        <f t="shared" si="37"/>
        <v>3.417224659432002E-3</v>
      </c>
      <c r="H43" s="152">
        <f t="shared" si="37"/>
        <v>4.1630047643276746E-4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123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220</v>
      </c>
      <c r="C45" s="152">
        <f t="shared" ref="C45:M45" si="39">IF(C6="","",ABS(MAX(C21,0)-MAX(C19,0))/C6)</f>
        <v>1.0719112643892435E-2</v>
      </c>
      <c r="D45" s="152">
        <f t="shared" si="39"/>
        <v>1.2758174599634206E-2</v>
      </c>
      <c r="E45" s="152">
        <f t="shared" si="39"/>
        <v>1.2107150390213033E-2</v>
      </c>
      <c r="F45" s="152">
        <f t="shared" si="39"/>
        <v>4.1731652826371059E-3</v>
      </c>
      <c r="G45" s="152">
        <f t="shared" si="39"/>
        <v>1.1082890787347033E-2</v>
      </c>
      <c r="H45" s="152">
        <f t="shared" si="39"/>
        <v>3.2378925944770805E-4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118</v>
      </c>
      <c r="C46" s="152">
        <f t="shared" ref="C46:M46" si="40">IF(C6="","",C22/C6)</f>
        <v>7.8762175513818339E-2</v>
      </c>
      <c r="D46" s="152">
        <f t="shared" si="40"/>
        <v>6.1649640897533123E-2</v>
      </c>
      <c r="E46" s="152">
        <f t="shared" si="40"/>
        <v>3.1301413203965407E-2</v>
      </c>
      <c r="F46" s="152">
        <f t="shared" si="40"/>
        <v>9.4254520929056188E-2</v>
      </c>
      <c r="G46" s="152">
        <f t="shared" si="40"/>
        <v>7.8919418148233667E-2</v>
      </c>
      <c r="H46" s="152">
        <f t="shared" si="40"/>
        <v>8.5896664970627687E-2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79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7" t="s">
        <v>252</v>
      </c>
      <c r="C48" s="268">
        <f t="shared" ref="C48:M48" si="41">IF(C6="","",C6/C27)</f>
        <v>1.4939079579475041</v>
      </c>
      <c r="D48" s="268">
        <f t="shared" si="41"/>
        <v>1.700318567961165</v>
      </c>
      <c r="E48" s="268">
        <f t="shared" si="41"/>
        <v>1.813973063973064</v>
      </c>
      <c r="F48" s="268">
        <f t="shared" si="41"/>
        <v>1.8916354357706722</v>
      </c>
      <c r="G48" s="268">
        <f t="shared" si="41"/>
        <v>2.0754264903201074</v>
      </c>
      <c r="H48" s="268">
        <f t="shared" si="41"/>
        <v>1.9952930318412552</v>
      </c>
      <c r="I48" s="268" t="str">
        <f t="shared" si="41"/>
        <v/>
      </c>
      <c r="J48" s="268" t="str">
        <f t="shared" si="41"/>
        <v/>
      </c>
      <c r="K48" s="268" t="str">
        <f t="shared" si="41"/>
        <v/>
      </c>
      <c r="L48" s="268" t="str">
        <f t="shared" si="41"/>
        <v/>
      </c>
      <c r="M48" s="268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1.2281250000000001</v>
      </c>
      <c r="D51" s="152">
        <f t="shared" si="44"/>
        <v>0.26785714285714296</v>
      </c>
      <c r="E51" s="152">
        <f t="shared" si="44"/>
        <v>-51</v>
      </c>
      <c r="F51" s="152">
        <f t="shared" si="44"/>
        <v>0.1025145067698259</v>
      </c>
      <c r="G51" s="152">
        <f t="shared" si="44"/>
        <v>3.1944444444444446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0.43653832764742739</v>
      </c>
      <c r="D53" s="155">
        <f t="shared" si="45"/>
        <v>0.48141686893203883</v>
      </c>
      <c r="E53" s="155">
        <f t="shared" si="45"/>
        <v>0.51943679216406491</v>
      </c>
      <c r="F53" s="155">
        <f t="shared" si="45"/>
        <v>0.58296786540148315</v>
      </c>
      <c r="G53" s="155">
        <f t="shared" si="45"/>
        <v>0.57648073605520411</v>
      </c>
      <c r="H53" s="155">
        <f t="shared" si="45"/>
        <v>0.56022150438394092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115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>
        <f t="shared" si="46"/>
        <v>0.37645865043125315</v>
      </c>
      <c r="F54" s="156">
        <f t="shared" si="46"/>
        <v>1.0849102377486657</v>
      </c>
      <c r="G54" s="156">
        <f t="shared" si="46"/>
        <v>1.0345036319612591</v>
      </c>
      <c r="H54" s="156" t="str">
        <f t="shared" si="46"/>
        <v>-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117</v>
      </c>
      <c r="C55" s="152">
        <f t="shared" ref="C55:M55" si="47">IF(C22="","",IF(MAX(C17,0)&lt;=0,"-",C17/C22))</f>
        <v>2.8994082840236687E-2</v>
      </c>
      <c r="D55" s="152">
        <f t="shared" si="47"/>
        <v>8.6830680173661356E-2</v>
      </c>
      <c r="E55" s="152">
        <f t="shared" si="47"/>
        <v>0.1293800539083558</v>
      </c>
      <c r="F55" s="152">
        <f t="shared" si="47"/>
        <v>3.2647584973166367E-2</v>
      </c>
      <c r="G55" s="152">
        <f t="shared" si="47"/>
        <v>4.3300175541252192E-2</v>
      </c>
      <c r="H55" s="152">
        <f t="shared" si="47"/>
        <v>4.8465266558966073E-3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16"/>
      <c r="B56" s="102" t="s">
        <v>249</v>
      </c>
      <c r="C56" s="269" t="str">
        <f>IFERROR(IF(C13*C48*(1/C53)=C57,"","Error"),"")</f>
        <v/>
      </c>
      <c r="D56" s="269" t="str">
        <f>IFERROR(IF(D13*D48*(1/D53)=D57,"","Error"),"")</f>
        <v/>
      </c>
      <c r="E56" s="269" t="str">
        <f>IFERROR(IF(E13*E48*(1/E53)=E57,"","Error"),"")</f>
        <v/>
      </c>
      <c r="F56" s="269" t="str">
        <f>IFERROR(IF(F13*F48*(1/F53)=F57,"","Error"),"")</f>
        <v/>
      </c>
      <c r="G56" s="269" t="str">
        <f>IFERROR(IF(G13*G48*(1/G53)=G57,"","Error"),"")</f>
        <v/>
      </c>
      <c r="H56" s="269" t="str">
        <f>IFERROR(IF(H13*H48*(1/H53)=H57,"","Error"),"")</f>
        <v/>
      </c>
      <c r="I56" s="269" t="str">
        <f>IFERROR(IF(I13*I48*(1/I53)=I57,"","Error"),"")</f>
        <v/>
      </c>
      <c r="J56" s="269" t="str">
        <f>IFERROR(IF(J13*J48*(1/J53)=J57,"","Error"),"")</f>
        <v/>
      </c>
      <c r="K56" s="269" t="str">
        <f>IFERROR(IF(K13*K48*(1/K53)=K57,"","Error"),"")</f>
        <v/>
      </c>
      <c r="L56" s="269" t="str">
        <f>IFERROR(IF(L13*L48*(1/L53)=L57,"","Error"),"")</f>
        <v/>
      </c>
      <c r="M56" s="269" t="str">
        <f>IFERROR(IF(M13*M48*(1/M53)=M57,"","Error"),"")</f>
        <v/>
      </c>
    </row>
    <row r="57" spans="1:14" ht="15.75" customHeight="1" x14ac:dyDescent="0.4">
      <c r="A57" s="4"/>
      <c r="B57" s="267" t="s">
        <v>250</v>
      </c>
      <c r="C57" s="270">
        <f t="shared" ref="C57:M57" si="48">IF(C14="","",C14/(C34-C35))</f>
        <v>0.31403508771929822</v>
      </c>
      <c r="D57" s="270">
        <f t="shared" si="48"/>
        <v>0.2817078934929888</v>
      </c>
      <c r="E57" s="270">
        <f t="shared" si="48"/>
        <v>0.30097230406599884</v>
      </c>
      <c r="F57" s="270">
        <f t="shared" si="48"/>
        <v>0.35836410887703463</v>
      </c>
      <c r="G57" s="270">
        <f t="shared" si="48"/>
        <v>0.35544472152950957</v>
      </c>
      <c r="H57" s="270">
        <f t="shared" si="48"/>
        <v>0.30856672158154858</v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7" t="s">
        <v>251</v>
      </c>
      <c r="C58" s="270">
        <f t="shared" ref="C58:M58" si="49">IF(C22="","",C22/(C34-C35))</f>
        <v>0.26953748006379585</v>
      </c>
      <c r="D58" s="270">
        <f t="shared" si="49"/>
        <v>0.21774066488104615</v>
      </c>
      <c r="E58" s="270">
        <f t="shared" si="49"/>
        <v>0.10931054802592811</v>
      </c>
      <c r="F58" s="270">
        <f t="shared" si="49"/>
        <v>0.30584051429353032</v>
      </c>
      <c r="G58" s="270">
        <f t="shared" si="49"/>
        <v>0.28412302576891107</v>
      </c>
      <c r="H58" s="270">
        <f t="shared" si="49"/>
        <v>0.30593080724876442</v>
      </c>
      <c r="I58" s="270" t="str">
        <f t="shared" si="49"/>
        <v/>
      </c>
      <c r="J58" s="270" t="str">
        <f t="shared" si="49"/>
        <v/>
      </c>
      <c r="K58" s="270" t="str">
        <f t="shared" si="49"/>
        <v/>
      </c>
      <c r="L58" s="270" t="str">
        <f t="shared" si="49"/>
        <v/>
      </c>
      <c r="M58" s="270" t="str">
        <f t="shared" si="49"/>
        <v/>
      </c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20</v>
      </c>
      <c r="C3" s="87"/>
      <c r="D3" s="203">
        <f>Inputs!C41</f>
        <v>627000</v>
      </c>
      <c r="E3" s="67" t="str">
        <f>IF((C49-I49)=D3,"", "Error!")</f>
        <v>Error!</v>
      </c>
      <c r="F3" s="87"/>
      <c r="G3" s="87"/>
      <c r="H3" s="47" t="s">
        <v>21</v>
      </c>
      <c r="I3" s="281">
        <f>D3-D4</f>
        <v>627000</v>
      </c>
      <c r="K3" s="24"/>
    </row>
    <row r="4" spans="1:11" ht="15" customHeight="1" x14ac:dyDescent="0.4">
      <c r="B4" s="3" t="s">
        <v>22</v>
      </c>
      <c r="C4" s="87"/>
      <c r="D4" s="197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-809300</v>
      </c>
      <c r="E6" s="56">
        <f>1-D6/D3</f>
        <v>2.290749601275917</v>
      </c>
      <c r="F6" s="87"/>
      <c r="G6" s="87"/>
      <c r="H6" s="1" t="s">
        <v>25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27</v>
      </c>
      <c r="C9" s="86"/>
      <c r="D9" s="201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1" t="s">
        <v>31</v>
      </c>
      <c r="G10" s="87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6">
        <f>Inputs!D48</f>
        <v>0.9</v>
      </c>
      <c r="E11" s="88">
        <f t="shared" ref="E11:E22" si="0">C11*D11</f>
        <v>0</v>
      </c>
      <c r="F11" s="112"/>
      <c r="G11" s="87"/>
      <c r="H11" s="3" t="s">
        <v>34</v>
      </c>
      <c r="I11" s="40">
        <f>Inputs!C73</f>
        <v>0</v>
      </c>
      <c r="J11" s="87"/>
      <c r="K11" s="24"/>
    </row>
    <row r="12" spans="1:11" ht="13.9" x14ac:dyDescent="0.4">
      <c r="B12" s="1" t="s">
        <v>129</v>
      </c>
      <c r="C12" s="40">
        <f>Inputs!C49</f>
        <v>0</v>
      </c>
      <c r="D12" s="196">
        <f>Inputs!D49</f>
        <v>0.8</v>
      </c>
      <c r="E12" s="88">
        <f t="shared" si="0"/>
        <v>0</v>
      </c>
      <c r="F12" s="112"/>
      <c r="G12" s="87"/>
      <c r="H12" s="3" t="s">
        <v>35</v>
      </c>
      <c r="I12" s="40">
        <f>Inputs!C74</f>
        <v>0</v>
      </c>
      <c r="J12" s="87"/>
      <c r="K12" s="24"/>
    </row>
    <row r="13" spans="1:11" ht="13.9" x14ac:dyDescent="0.4">
      <c r="B13" s="3" t="s">
        <v>111</v>
      </c>
      <c r="C13" s="40">
        <f>Inputs!C50</f>
        <v>0</v>
      </c>
      <c r="D13" s="196">
        <f>Inputs!D50</f>
        <v>0.6</v>
      </c>
      <c r="E13" s="88">
        <f t="shared" si="0"/>
        <v>0</v>
      </c>
      <c r="F13" s="112"/>
      <c r="G13" s="87"/>
      <c r="H13" s="3" t="s">
        <v>36</v>
      </c>
      <c r="I13" s="40">
        <f>Inputs!C75</f>
        <v>0</v>
      </c>
      <c r="J13" s="87"/>
      <c r="K13" s="26"/>
    </row>
    <row r="14" spans="1:11" ht="13.9" x14ac:dyDescent="0.4">
      <c r="B14" s="3" t="s">
        <v>37</v>
      </c>
      <c r="C14" s="40">
        <f>Inputs!C51</f>
        <v>0</v>
      </c>
      <c r="D14" s="196">
        <f>Inputs!D51</f>
        <v>0.6</v>
      </c>
      <c r="E14" s="88">
        <f t="shared" si="0"/>
        <v>0</v>
      </c>
      <c r="F14" s="112"/>
      <c r="G14" s="87"/>
      <c r="H14" s="86" t="s">
        <v>38</v>
      </c>
      <c r="I14" s="202">
        <f>Inputs!C76</f>
        <v>0</v>
      </c>
      <c r="J14" s="87"/>
      <c r="K14" s="27"/>
    </row>
    <row r="15" spans="1:11" ht="13.9" x14ac:dyDescent="0.4">
      <c r="B15" s="3" t="s">
        <v>39</v>
      </c>
      <c r="C15" s="40">
        <f>Inputs!C52</f>
        <v>0</v>
      </c>
      <c r="D15" s="196">
        <f>Inputs!D52</f>
        <v>0.5</v>
      </c>
      <c r="E15" s="88">
        <f t="shared" si="0"/>
        <v>0</v>
      </c>
      <c r="F15" s="112"/>
      <c r="G15" s="87"/>
      <c r="H15" s="1" t="s">
        <v>49</v>
      </c>
      <c r="I15" s="84">
        <f>SUM(I11:I14)</f>
        <v>0</v>
      </c>
      <c r="J15" s="87"/>
    </row>
    <row r="16" spans="1:11" ht="13.9" x14ac:dyDescent="0.4">
      <c r="B16" s="1" t="s">
        <v>149</v>
      </c>
      <c r="C16" s="40">
        <f>Inputs!C53</f>
        <v>0</v>
      </c>
      <c r="D16" s="196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112</v>
      </c>
      <c r="C17" s="40">
        <f>Inputs!C54</f>
        <v>0</v>
      </c>
      <c r="D17" s="196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42</v>
      </c>
      <c r="C18" s="40">
        <f>Inputs!C55</f>
        <v>0</v>
      </c>
      <c r="D18" s="196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43</v>
      </c>
      <c r="C19" s="40">
        <f>Inputs!C56</f>
        <v>0</v>
      </c>
      <c r="D19" s="196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6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6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6">
        <f>Inputs!D59</f>
        <v>0.05</v>
      </c>
      <c r="E22" s="88">
        <f t="shared" si="0"/>
        <v>0</v>
      </c>
      <c r="F22" s="112"/>
      <c r="G22" s="87"/>
      <c r="H22" s="3" t="s">
        <v>40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47</v>
      </c>
      <c r="G23" s="87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3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31</v>
      </c>
      <c r="G29" s="87"/>
      <c r="H29" s="87"/>
      <c r="I29" s="87"/>
      <c r="J29" s="87"/>
    </row>
    <row r="30" spans="2:10" ht="15" customHeight="1" x14ac:dyDescent="0.4">
      <c r="B30" s="3" t="s">
        <v>56</v>
      </c>
      <c r="C30" s="40">
        <f>Inputs!C60</f>
        <v>0</v>
      </c>
      <c r="D30" s="196">
        <f>Inputs!D60</f>
        <v>0.8</v>
      </c>
      <c r="E30" s="88">
        <v>0</v>
      </c>
      <c r="F30" s="112"/>
      <c r="G30" s="87"/>
      <c r="H30" s="3" t="s">
        <v>57</v>
      </c>
      <c r="I30" s="40">
        <f>Inputs!C78</f>
        <v>0</v>
      </c>
      <c r="J30" s="87"/>
    </row>
    <row r="31" spans="2:10" ht="15" customHeight="1" x14ac:dyDescent="0.4">
      <c r="B31" s="3" t="s">
        <v>58</v>
      </c>
      <c r="C31" s="40">
        <f>Inputs!C61</f>
        <v>0</v>
      </c>
      <c r="D31" s="196">
        <f>Inputs!D61</f>
        <v>0.6</v>
      </c>
      <c r="E31" s="88">
        <f t="shared" ref="E31:E42" si="1">C31*D31</f>
        <v>0</v>
      </c>
      <c r="F31" s="112"/>
      <c r="G31" s="87"/>
      <c r="H31" s="3" t="s">
        <v>59</v>
      </c>
      <c r="I31" s="40">
        <f>Inputs!C79</f>
        <v>0</v>
      </c>
      <c r="J31" s="87"/>
    </row>
    <row r="32" spans="2:10" ht="15" customHeight="1" x14ac:dyDescent="0.4">
      <c r="B32" s="3" t="s">
        <v>60</v>
      </c>
      <c r="C32" s="40">
        <f>Inputs!C62</f>
        <v>0</v>
      </c>
      <c r="D32" s="196">
        <f>Inputs!D62</f>
        <v>0.5</v>
      </c>
      <c r="E32" s="88">
        <f t="shared" si="1"/>
        <v>0</v>
      </c>
      <c r="F32" s="112"/>
      <c r="G32" s="87"/>
      <c r="H32" s="3" t="s">
        <v>61</v>
      </c>
      <c r="I32" s="40">
        <f>Inputs!C80</f>
        <v>0</v>
      </c>
      <c r="J32" s="87"/>
    </row>
    <row r="33" spans="2:10" ht="13.9" x14ac:dyDescent="0.4">
      <c r="B33" s="1" t="s">
        <v>150</v>
      </c>
      <c r="C33" s="40">
        <f>Inputs!C63</f>
        <v>0</v>
      </c>
      <c r="D33" s="196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62</v>
      </c>
      <c r="I33" s="202">
        <f>Inputs!C81</f>
        <v>0</v>
      </c>
      <c r="J33" s="87"/>
    </row>
    <row r="34" spans="2:10" ht="13.9" x14ac:dyDescent="0.4">
      <c r="B34" s="3" t="s">
        <v>63</v>
      </c>
      <c r="C34" s="40">
        <f>Inputs!C64</f>
        <v>0</v>
      </c>
      <c r="D34" s="196">
        <f>Inputs!D64</f>
        <v>0.4</v>
      </c>
      <c r="E34" s="88">
        <f t="shared" si="1"/>
        <v>0</v>
      </c>
      <c r="F34" s="112"/>
      <c r="G34" s="87"/>
      <c r="H34" s="1" t="s">
        <v>73</v>
      </c>
      <c r="I34" s="84">
        <f>SUM(I30:I33)</f>
        <v>0</v>
      </c>
      <c r="J34" s="87"/>
    </row>
    <row r="35" spans="2:10" ht="13.9" x14ac:dyDescent="0.4">
      <c r="B35" s="3" t="s">
        <v>65</v>
      </c>
      <c r="C35" s="40">
        <f>Inputs!C65</f>
        <v>0</v>
      </c>
      <c r="D35" s="196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67</v>
      </c>
      <c r="C36" s="40">
        <f>Inputs!C66</f>
        <v>0</v>
      </c>
      <c r="D36" s="196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44</v>
      </c>
      <c r="C37" s="40">
        <f>Inputs!C67</f>
        <v>0</v>
      </c>
      <c r="D37" s="196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113</v>
      </c>
      <c r="C38" s="40">
        <f>Inputs!C68</f>
        <v>0</v>
      </c>
      <c r="D38" s="196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68</v>
      </c>
      <c r="C39" s="40">
        <f>Inputs!C69</f>
        <v>0</v>
      </c>
      <c r="D39" s="196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69</v>
      </c>
      <c r="C40" s="40">
        <f>Inputs!C70</f>
        <v>0</v>
      </c>
      <c r="D40" s="196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70</v>
      </c>
      <c r="C41" s="40">
        <f>Inputs!C71</f>
        <v>0</v>
      </c>
      <c r="D41" s="196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71</v>
      </c>
      <c r="C42" s="40">
        <f>Inputs!C72</f>
        <v>0</v>
      </c>
      <c r="D42" s="196">
        <f>Inputs!D72</f>
        <v>0</v>
      </c>
      <c r="E42" s="88">
        <f t="shared" si="1"/>
        <v>0</v>
      </c>
      <c r="F42" s="112"/>
      <c r="G42" s="87"/>
      <c r="H42" s="3" t="s">
        <v>64</v>
      </c>
      <c r="I42" s="52">
        <f>I48-SUM(I30:I33)</f>
        <v>809300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80</v>
      </c>
      <c r="I48" s="280">
        <f>I49-I28</f>
        <v>809300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81</v>
      </c>
      <c r="I49" s="40">
        <f>Inputs!C37</f>
        <v>809300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84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141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85</v>
      </c>
      <c r="C56" s="87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7"/>
      <c r="D57" s="294">
        <f>Inputs!C84</f>
        <v>0</v>
      </c>
      <c r="E57" s="293"/>
      <c r="G57" s="87"/>
      <c r="I57" s="87"/>
      <c r="K57" s="33" t="s">
        <v>87</v>
      </c>
    </row>
    <row r="58" spans="2:11" ht="12.75" customHeight="1" x14ac:dyDescent="0.4">
      <c r="B58" s="20" t="s">
        <v>88</v>
      </c>
      <c r="C58" s="87"/>
      <c r="D58" s="294">
        <f>Inputs!C85</f>
        <v>0</v>
      </c>
      <c r="E58" s="29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144</v>
      </c>
      <c r="C60" s="3"/>
      <c r="D60" s="75" t="s">
        <v>89</v>
      </c>
      <c r="E60" s="87"/>
      <c r="F60" s="9"/>
      <c r="G60" s="9"/>
      <c r="I60" s="87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133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142</v>
      </c>
      <c r="C64" s="204"/>
      <c r="D64" s="204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7"/>
      <c r="G67" s="87"/>
      <c r="I67" s="87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143</v>
      </c>
      <c r="C69" s="204"/>
      <c r="D69" s="204"/>
      <c r="E69" s="125">
        <f>I49-E64</f>
        <v>809300</v>
      </c>
      <c r="F69" s="87"/>
      <c r="G69" s="87"/>
      <c r="I69" s="87"/>
      <c r="K69" s="33"/>
    </row>
    <row r="70" spans="1:11" ht="14.25" thickTop="1" x14ac:dyDescent="0.4">
      <c r="B70" s="19" t="s">
        <v>137</v>
      </c>
      <c r="C70" s="68">
        <f>C68-E69</f>
        <v>-809300</v>
      </c>
      <c r="D70" s="29">
        <f t="shared" si="2"/>
        <v>1</v>
      </c>
      <c r="E70" s="68">
        <f>E68-E69</f>
        <v>-809300</v>
      </c>
      <c r="F70" s="87"/>
      <c r="G70" s="87"/>
      <c r="I70" s="87"/>
      <c r="K70" s="33"/>
    </row>
    <row r="72" spans="1:11" ht="15" customHeight="1" x14ac:dyDescent="0.4">
      <c r="A72" s="5"/>
      <c r="B72" s="106" t="s">
        <v>121</v>
      </c>
      <c r="C72" s="282">
        <f>Data!C5</f>
        <v>45382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2145700</v>
      </c>
      <c r="D74" s="205"/>
      <c r="E74" s="234">
        <f>Inputs!E91</f>
        <v>2145700</v>
      </c>
      <c r="F74" s="205"/>
      <c r="H74" s="234">
        <f>Inputs!F91</f>
        <v>2145700</v>
      </c>
      <c r="I74" s="205"/>
      <c r="K74" s="24"/>
    </row>
    <row r="75" spans="1:11" ht="15" customHeight="1" x14ac:dyDescent="0.4">
      <c r="B75" s="104" t="s">
        <v>101</v>
      </c>
      <c r="C75" s="77">
        <f>Data!C8</f>
        <v>1510800</v>
      </c>
      <c r="D75" s="157">
        <f>C75/$C$74</f>
        <v>0.70410588619098657</v>
      </c>
      <c r="E75" s="234">
        <f>Inputs!E92</f>
        <v>1510800</v>
      </c>
      <c r="F75" s="158">
        <f>E75/E74</f>
        <v>0.70410588619098657</v>
      </c>
      <c r="H75" s="234">
        <f>Inputs!F92</f>
        <v>1510800</v>
      </c>
      <c r="I75" s="158">
        <f>H75/$H$74</f>
        <v>0.70410588619098657</v>
      </c>
      <c r="K75" s="24"/>
    </row>
    <row r="76" spans="1:11" ht="15" customHeight="1" x14ac:dyDescent="0.4">
      <c r="B76" s="35" t="s">
        <v>91</v>
      </c>
      <c r="C76" s="159">
        <f>C74-C75</f>
        <v>634900</v>
      </c>
      <c r="D76" s="206"/>
      <c r="E76" s="160">
        <f>E74-E75</f>
        <v>634900</v>
      </c>
      <c r="F76" s="206"/>
      <c r="H76" s="160">
        <f>H74-H75</f>
        <v>634900</v>
      </c>
      <c r="I76" s="206"/>
      <c r="K76" s="24"/>
    </row>
    <row r="77" spans="1:11" ht="15" customHeight="1" x14ac:dyDescent="0.4">
      <c r="B77" s="104" t="s">
        <v>229</v>
      </c>
      <c r="C77" s="77">
        <f>Data!C10+MAX(Data!C11,0)</f>
        <v>438000</v>
      </c>
      <c r="D77" s="157">
        <f>C77/$C$74</f>
        <v>0.20412918860977769</v>
      </c>
      <c r="E77" s="234">
        <f>Inputs!E93</f>
        <v>438000</v>
      </c>
      <c r="F77" s="158">
        <f>E77/E74</f>
        <v>0.20412918860977769</v>
      </c>
      <c r="H77" s="234">
        <f>Inputs!F93</f>
        <v>438000</v>
      </c>
      <c r="I77" s="158">
        <f>H77/$H$74</f>
        <v>0.20412918860977769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7">
        <f>C78/$C$74</f>
        <v>0</v>
      </c>
      <c r="E78" s="178">
        <f>E74*F78</f>
        <v>0</v>
      </c>
      <c r="F78" s="158">
        <f>I78</f>
        <v>0</v>
      </c>
      <c r="H78" s="234">
        <f>Inputs!F97</f>
        <v>0</v>
      </c>
      <c r="I78" s="158">
        <f>H78/$H$74</f>
        <v>0</v>
      </c>
      <c r="K78" s="24"/>
    </row>
    <row r="79" spans="1:11" ht="15" customHeight="1" x14ac:dyDescent="0.4">
      <c r="B79" s="252" t="s">
        <v>216</v>
      </c>
      <c r="C79" s="253">
        <f>C76-C77-C78</f>
        <v>196900</v>
      </c>
      <c r="D79" s="254">
        <f>C79/C74</f>
        <v>9.1764925199235681E-2</v>
      </c>
      <c r="E79" s="255">
        <f>E76-E77-E78</f>
        <v>196900</v>
      </c>
      <c r="F79" s="254">
        <f>E79/E74</f>
        <v>9.1764925199235681E-2</v>
      </c>
      <c r="G79" s="256"/>
      <c r="H79" s="255">
        <f>H76-H77-H78</f>
        <v>196900</v>
      </c>
      <c r="I79" s="254">
        <f>H79/H74</f>
        <v>9.1764925199235681E-2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7">
        <f>C80/$C$74</f>
        <v>0</v>
      </c>
      <c r="E80" s="178">
        <f>E74*F80</f>
        <v>0</v>
      </c>
      <c r="F80" s="158">
        <f>I80</f>
        <v>0</v>
      </c>
      <c r="H80" s="234">
        <f>Inputs!F96</f>
        <v>0</v>
      </c>
      <c r="I80" s="158">
        <f>H80/$H$74</f>
        <v>0</v>
      </c>
      <c r="K80" s="179" t="s">
        <v>125</v>
      </c>
    </row>
    <row r="81" spans="1:11" ht="15" customHeight="1" x14ac:dyDescent="0.4">
      <c r="B81" s="104" t="s">
        <v>238</v>
      </c>
      <c r="C81" s="77">
        <f>MAX(Data!C17,0)</f>
        <v>4900</v>
      </c>
      <c r="D81" s="157">
        <f>C81/$C$74</f>
        <v>2.2836370415249105E-3</v>
      </c>
      <c r="E81" s="178">
        <f>E74*F81</f>
        <v>4900.0000000000009</v>
      </c>
      <c r="F81" s="158">
        <f>I81</f>
        <v>2.2836370415249105E-3</v>
      </c>
      <c r="H81" s="234">
        <f>Inputs!F94</f>
        <v>4900.0000000000009</v>
      </c>
      <c r="I81" s="158">
        <f>H81/$H$74</f>
        <v>2.2836370415249105E-3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23000</v>
      </c>
      <c r="D82" s="157">
        <f>C82/$C$74</f>
        <v>1.0719112643892435E-2</v>
      </c>
      <c r="E82" s="234">
        <f>Inputs!E95</f>
        <v>23000</v>
      </c>
      <c r="F82" s="158">
        <f>E82/E74</f>
        <v>1.0719112643892435E-2</v>
      </c>
      <c r="H82" s="234">
        <f>Inputs!F95</f>
        <v>23000</v>
      </c>
      <c r="I82" s="158">
        <f>H82/$H$74</f>
        <v>1.0719112643892435E-2</v>
      </c>
      <c r="K82" s="24"/>
    </row>
    <row r="83" spans="1:11" ht="15" customHeight="1" thickBot="1" x14ac:dyDescent="0.45">
      <c r="B83" s="105" t="s">
        <v>119</v>
      </c>
      <c r="C83" s="161">
        <f>C79-C81-C82-C80</f>
        <v>169000</v>
      </c>
      <c r="D83" s="162">
        <f>C83/$C$74</f>
        <v>7.8762175513818339E-2</v>
      </c>
      <c r="E83" s="163">
        <f>E79-E81-E82-E80</f>
        <v>169000</v>
      </c>
      <c r="F83" s="162">
        <f>E83/E74</f>
        <v>7.8762175513818339E-2</v>
      </c>
      <c r="H83" s="163">
        <f>H79-H81-H82-H80</f>
        <v>169000</v>
      </c>
      <c r="I83" s="162">
        <f>H83/$H$74</f>
        <v>7.8762175513818339E-2</v>
      </c>
      <c r="K83" s="24"/>
    </row>
    <row r="84" spans="1:11" ht="15" customHeight="1" thickTop="1" x14ac:dyDescent="0.4">
      <c r="B84" s="28" t="s">
        <v>92</v>
      </c>
      <c r="C84" s="207"/>
      <c r="D84" s="157">
        <f>I84</f>
        <v>0.23</v>
      </c>
      <c r="E84" s="208"/>
      <c r="F84" s="177">
        <f t="shared" ref="F84" si="3">I84</f>
        <v>0.23</v>
      </c>
      <c r="H84" s="208"/>
      <c r="I84" s="200">
        <f>Inputs!C16</f>
        <v>0.23</v>
      </c>
      <c r="K84" s="24"/>
    </row>
    <row r="85" spans="1:11" ht="15" customHeight="1" x14ac:dyDescent="0.4">
      <c r="B85" s="259" t="s">
        <v>155</v>
      </c>
      <c r="C85" s="253">
        <f>C83*(1-I84)</f>
        <v>130130</v>
      </c>
      <c r="D85" s="254">
        <f>C85/$C$74</f>
        <v>6.0646875145640121E-2</v>
      </c>
      <c r="E85" s="260">
        <f>E83*(1-F84)</f>
        <v>130130</v>
      </c>
      <c r="F85" s="254">
        <f>E85/E74</f>
        <v>6.0646875145640121E-2</v>
      </c>
      <c r="G85" s="256"/>
      <c r="H85" s="260">
        <f>H83*(1-I84)</f>
        <v>130130</v>
      </c>
      <c r="I85" s="254">
        <f>H85/$H$74</f>
        <v>6.0646875145640121E-2</v>
      </c>
      <c r="K85" s="24"/>
    </row>
    <row r="86" spans="1:11" ht="15" customHeight="1" x14ac:dyDescent="0.4">
      <c r="B86" s="87" t="s">
        <v>151</v>
      </c>
      <c r="C86" s="165">
        <f>C85*Data!C4/Common_Shares</f>
        <v>0.51420731741314341</v>
      </c>
      <c r="D86" s="205"/>
      <c r="E86" s="166">
        <f>E85*Data!C4/Common_Shares</f>
        <v>0.51420731741314341</v>
      </c>
      <c r="F86" s="205"/>
      <c r="H86" s="166">
        <f>H85*Data!C4/Common_Shares</f>
        <v>0.51420731741314341</v>
      </c>
      <c r="I86" s="205"/>
      <c r="K86" s="24"/>
    </row>
    <row r="87" spans="1:11" ht="15" customHeight="1" x14ac:dyDescent="0.4">
      <c r="B87" s="87" t="s">
        <v>193</v>
      </c>
      <c r="C87" s="257">
        <f>C86*Exchange_Rate/Dashboard!G3</f>
        <v>7.8689982733285424E-2</v>
      </c>
      <c r="D87" s="205"/>
      <c r="E87" s="258">
        <f>E86*Exchange_Rate/Dashboard!G3</f>
        <v>7.8689982733285424E-2</v>
      </c>
      <c r="F87" s="205"/>
      <c r="H87" s="258">
        <f>H86*Exchange_Rate/Dashboard!G3</f>
        <v>7.8689982733285424E-2</v>
      </c>
      <c r="I87" s="205"/>
      <c r="K87" s="24"/>
    </row>
    <row r="88" spans="1:11" ht="15" customHeight="1" x14ac:dyDescent="0.4">
      <c r="B88" s="86" t="s">
        <v>192</v>
      </c>
      <c r="C88" s="167">
        <f>Inputs!C44</f>
        <v>0.65</v>
      </c>
      <c r="D88" s="164">
        <f>C88/C86</f>
        <v>1.2640815834165835</v>
      </c>
      <c r="E88" s="168">
        <f>Inputs!E98</f>
        <v>0.65</v>
      </c>
      <c r="F88" s="164">
        <f>E88/E86</f>
        <v>1.2640815834165835</v>
      </c>
      <c r="H88" s="168">
        <f>Inputs!F98</f>
        <v>0.65</v>
      </c>
      <c r="I88" s="164">
        <f>H88/H86</f>
        <v>1.2640815834165835</v>
      </c>
      <c r="K88" s="24"/>
    </row>
    <row r="89" spans="1:11" ht="15" customHeight="1" x14ac:dyDescent="0.4">
      <c r="B89" s="87" t="s">
        <v>205</v>
      </c>
      <c r="C89" s="257">
        <f>C88*Exchange_Rate/Dashboard!G3</f>
        <v>9.9470557972515042E-2</v>
      </c>
      <c r="D89" s="205"/>
      <c r="E89" s="257">
        <f>E88*Exchange_Rate/Dashboard!G3</f>
        <v>9.9470557972515042E-2</v>
      </c>
      <c r="F89" s="205"/>
      <c r="H89" s="257">
        <f>H88*Exchange_Rate/Dashboard!G3</f>
        <v>9.9470557972515042E-2</v>
      </c>
      <c r="I89" s="20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6" t="str">
        <f>Inputs!C15</f>
        <v>HK</v>
      </c>
      <c r="D92" s="10" t="s">
        <v>147</v>
      </c>
      <c r="E92" s="296" t="s">
        <v>191</v>
      </c>
      <c r="F92" s="296"/>
      <c r="G92" s="87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5">
        <f>Inputs!C86</f>
        <v>5</v>
      </c>
      <c r="E93" s="87" t="s">
        <v>194</v>
      </c>
      <c r="F93" s="143">
        <f>FV(E87,D93,0,-(E86/(C93-D94)))*Exchange_Rate</f>
        <v>96.297417201019542</v>
      </c>
      <c r="H93" s="87" t="s">
        <v>194</v>
      </c>
      <c r="I93" s="143">
        <f>FV(H87,D93,0,-(H86/(C93-D94)))*Exchange_Rate</f>
        <v>96.297417201019542</v>
      </c>
      <c r="K93" s="24"/>
    </row>
    <row r="94" spans="1:11" ht="15" customHeight="1" x14ac:dyDescent="0.4">
      <c r="B94" s="1" t="s">
        <v>196</v>
      </c>
      <c r="C94" s="180">
        <f>Dashboard!G20</f>
        <v>0.15</v>
      </c>
      <c r="D94" s="266">
        <f>Inputs!D87</f>
        <v>0.02</v>
      </c>
      <c r="E94" s="87" t="s">
        <v>195</v>
      </c>
      <c r="F94" s="143">
        <f>FV(E89,D93,0,-(E88/(C93-D94)))*Exchange_Rate</f>
        <v>133.91355380938401</v>
      </c>
      <c r="H94" s="87" t="s">
        <v>195</v>
      </c>
      <c r="I94" s="143">
        <f>FV(H89,D93,0,-(H88/(C93-D94)))*Exchange_Rate</f>
        <v>133.91355380938401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198</v>
      </c>
      <c r="E96" s="181" t="str">
        <f>E72</f>
        <v>Pessimistic Case</v>
      </c>
      <c r="F96" s="223" t="s">
        <v>221</v>
      </c>
      <c r="H96" s="181" t="str">
        <f>H72</f>
        <v>Base Case</v>
      </c>
      <c r="I96" s="123" t="s">
        <v>110</v>
      </c>
      <c r="K96" s="24"/>
    </row>
    <row r="97" spans="2:11" ht="15" customHeight="1" x14ac:dyDescent="0.4">
      <c r="B97" s="1" t="s">
        <v>124</v>
      </c>
      <c r="C97" s="91">
        <f>H97*Common_Shares/Data!C4</f>
        <v>12116149.251188787</v>
      </c>
      <c r="D97" s="209"/>
      <c r="E97" s="122">
        <f>PV(C94,D93,0,-F93)</f>
        <v>47.876835501660281</v>
      </c>
      <c r="F97" s="209"/>
      <c r="H97" s="122">
        <f>PV(C94,D93,0,-I93)</f>
        <v>47.876835501660281</v>
      </c>
      <c r="I97" s="122">
        <f>PV(C93,D93,0,-I93)</f>
        <v>65.349096265062869</v>
      </c>
      <c r="K97" s="24"/>
    </row>
    <row r="98" spans="2:11" ht="15" customHeight="1" x14ac:dyDescent="0.4">
      <c r="B98" s="28" t="s">
        <v>138</v>
      </c>
      <c r="C98" s="91">
        <f>-E53*Exchange_Rate</f>
        <v>0</v>
      </c>
      <c r="D98" s="209"/>
      <c r="E98" s="209"/>
      <c r="F98" s="209"/>
      <c r="H98" s="122">
        <f>C98*Data!$C$4/Common_Shares</f>
        <v>0</v>
      </c>
      <c r="I98" s="211"/>
      <c r="K98" s="24"/>
    </row>
    <row r="99" spans="2:11" ht="15" customHeight="1" thickBot="1" x14ac:dyDescent="0.45">
      <c r="B99" s="105" t="s">
        <v>139</v>
      </c>
      <c r="C99" s="108">
        <f>(E65-IF(E70&lt;0,MIN(E65,ABS(E70)),0))*Exchange_Rate</f>
        <v>0</v>
      </c>
      <c r="D99" s="210"/>
      <c r="E99" s="144">
        <f>IF(H99&gt;0,H99*(1-C94),H99*(1+C94))</f>
        <v>0</v>
      </c>
      <c r="F99" s="210"/>
      <c r="H99" s="144">
        <f>C99*Data!$C$4/Common_Shares</f>
        <v>0</v>
      </c>
      <c r="I99" s="212"/>
      <c r="K99" s="24"/>
    </row>
    <row r="100" spans="2:11" ht="15" customHeight="1" thickTop="1" x14ac:dyDescent="0.4">
      <c r="B100" s="1" t="s">
        <v>110</v>
      </c>
      <c r="C100" s="91">
        <f>C97+C98+$C$99</f>
        <v>12116149.251188787</v>
      </c>
      <c r="D100" s="109">
        <f>MIN(F100*(1-C94),E100)</f>
        <v>40.69531017641124</v>
      </c>
      <c r="E100" s="109">
        <f>MAX(E97+H98+E99,0)</f>
        <v>47.876835501660281</v>
      </c>
      <c r="F100" s="109">
        <f>(E100+H100)/2</f>
        <v>47.876835501660281</v>
      </c>
      <c r="H100" s="109">
        <f>MAX(C100*Data!$C$4/Common_Shares,0)</f>
        <v>47.876835501660281</v>
      </c>
      <c r="I100" s="109">
        <f>MAX(I97+H98+H99,0)</f>
        <v>65.349096265062869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6" t="str">
        <f>C96</f>
        <v>HKD</v>
      </c>
      <c r="D102" s="123" t="s">
        <v>198</v>
      </c>
      <c r="E102" s="181" t="str">
        <f>E96</f>
        <v>Pessimistic Case</v>
      </c>
      <c r="F102" s="223" t="s">
        <v>221</v>
      </c>
      <c r="H102" s="181" t="str">
        <f>H96</f>
        <v>Base Case</v>
      </c>
      <c r="I102" s="123" t="s">
        <v>110</v>
      </c>
      <c r="K102" s="24"/>
    </row>
    <row r="103" spans="2:11" ht="15" customHeight="1" x14ac:dyDescent="0.4">
      <c r="B103" s="1" t="s">
        <v>152</v>
      </c>
      <c r="C103" s="91">
        <f>H103*Common_Shares/Data!C4</f>
        <v>16849014.769779507</v>
      </c>
      <c r="D103" s="109">
        <f>MIN(F103*(1-C94),E103)</f>
        <v>56.5918979708702</v>
      </c>
      <c r="E103" s="122">
        <f>PV(C94,D93,0,-F94)</f>
        <v>66.578703495141411</v>
      </c>
      <c r="F103" s="109">
        <f>(E103+H103)/2</f>
        <v>66.578703495141411</v>
      </c>
      <c r="H103" s="122">
        <f>PV(C94,D93,0,-I94)</f>
        <v>66.578703495141411</v>
      </c>
      <c r="I103" s="109">
        <f>PV(C93,D93,0,-I94)</f>
        <v>90.876058501322504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6" t="str">
        <f>C102</f>
        <v>HKD</v>
      </c>
      <c r="D105" s="123" t="s">
        <v>198</v>
      </c>
      <c r="E105" s="182" t="str">
        <f>E96</f>
        <v>Pessimistic Case</v>
      </c>
      <c r="F105" s="223" t="s">
        <v>221</v>
      </c>
      <c r="H105" s="182" t="str">
        <f>H96</f>
        <v>Base Case</v>
      </c>
      <c r="I105" s="123" t="s">
        <v>110</v>
      </c>
      <c r="K105" s="24"/>
    </row>
    <row r="106" spans="2:11" ht="15" customHeight="1" x14ac:dyDescent="0.4">
      <c r="B106" s="1" t="s">
        <v>183</v>
      </c>
      <c r="C106" s="91">
        <f>E106*Common_Shares/Data!C4</f>
        <v>14482582.010484146</v>
      </c>
      <c r="D106" s="109">
        <f>(D100+D103)/2</f>
        <v>48.643604073640716</v>
      </c>
      <c r="E106" s="122">
        <f>(E100+E103)/2</f>
        <v>57.227769498400846</v>
      </c>
      <c r="F106" s="109">
        <f>(F100+F103)/2</f>
        <v>57.227769498400846</v>
      </c>
      <c r="H106" s="122">
        <f>(H100+H103)/2</f>
        <v>57.227769498400846</v>
      </c>
      <c r="I106" s="122">
        <f>(I100+I103)/2</f>
        <v>78.112577383192686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