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5274919-316E-487F-94A7-481E94527D4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<sst xmlns="http://schemas.openxmlformats.org/spreadsheetml/2006/main" count="392" uniqueCount="276">
  <si>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</si>
  <si>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</si>
  <si>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</si>
  <si>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</si>
  <si>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</si>
  <si>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</si>
  <si>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</si>
  <si>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</si>
  <si>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</si>
  <si>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</si>
  <si>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</si>
  <si>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</si>
  <si>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</si>
  <si>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</si>
  <si>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</si>
  <si>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</si>
  <si>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</si>
  <si>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</si>
  <si>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</si>
  <si>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</si>
  <si>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</si>
  <si>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</si>
  <si>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</si>
  <si>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</si>
  <si>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</si>
  <si>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</si>
  <si>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</si>
  <si>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</si>
  <si>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</si>
  <si>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</si>
  <si>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</si>
  <si>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</si>
  <si>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</si>
  <si>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</si>
  <si>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</si>
  <si>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</si>
  <si>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</si>
  <si>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</si>
  <si>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</si>
  <si>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</si>
  <si>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</si>
  <si>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</si>
  <si>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</si>
  <si>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</si>
  <si>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</si>
  <si>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</si>
  <si>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</si>
  <si>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</si>
  <si>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</si>
  <si>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</si>
  <si>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</si>
  <si>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</si>
  <si>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</si>
  <si>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</si>
  <si>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</si>
  <si>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</si>
  <si>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</si>
  <si>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</si>
  <si>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</si>
  <si>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</si>
  <si>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</si>
  <si>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</si>
  <si>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</si>
  <si>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</si>
  <si>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</si>
  <si>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</si>
  <si>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</si>
  <si>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</si>
  <si>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</si>
  <si>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</si>
  <si>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</si>
  <si>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</si>
  <si>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</si>
  <si>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</si>
  <si>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</si>
  <si>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</si>
  <si>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</si>
  <si>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</si>
  <si>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</si>
  <si>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</si>
  <si>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</si>
  <si>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</si>
  <si>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</si>
  <si>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</si>
  <si>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</si>
  <si>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</si>
  <si>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</si>
  <si>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</si>
  <si>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</si>
  <si>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</si>
  <si>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</si>
  <si>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</si>
  <si>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</si>
  <si>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</si>
  <si>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</si>
  <si>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</si>
  <si>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</si>
  <si>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</si>
  <si>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</si>
  <si>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</si>
  <si>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</si>
  <si>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</si>
  <si>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</si>
  <si>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</si>
  <si>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</si>
  <si>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</si>
  <si>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</si>
  <si>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</si>
  <si>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</si>
  <si>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</si>
  <si>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</si>
  <si>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</si>
  <si>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</si>
  <si>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</si>
  <si>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</si>
  <si>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</si>
  <si>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</si>
  <si>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</si>
  <si>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</si>
  <si>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</si>
  <si>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</si>
  <si>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</si>
  <si>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</si>
  <si>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</si>
  <si>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</si>
  <si>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</si>
  <si>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</si>
  <si>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</si>
  <si>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</si>
  <si>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</si>
  <si>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</si>
  <si>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</si>
  <si>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</si>
  <si>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</si>
  <si>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</si>
  <si>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</si>
  <si>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</si>
  <si>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</si>
  <si>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</si>
  <si>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</si>
  <si>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</si>
  <si>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</si>
  <si>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</si>
  <si>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</si>
  <si>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</si>
  <si>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</si>
  <si>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</si>
  <si>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</si>
  <si>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</si>
  <si>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</si>
  <si>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</si>
  <si>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</si>
  <si>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</si>
  <si>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</si>
  <si>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</si>
  <si>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</si>
  <si>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</si>
  <si>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</si>
  <si>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</si>
  <si>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</si>
  <si>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</si>
  <si>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</si>
  <si>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</si>
  <si>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</si>
  <si>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</si>
  <si>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</si>
  <si>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</si>
  <si>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</si>
  <si>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</si>
  <si>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</si>
  <si>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</si>
  <si>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</si>
  <si>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</si>
  <si>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</si>
  <si>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</si>
  <si>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</si>
  <si>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</si>
  <si>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</si>
  <si>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</si>
  <si>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</si>
  <si>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</si>
  <si>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</si>
  <si>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</si>
  <si>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</si>
  <si>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</si>
  <si>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</si>
  <si>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</si>
  <si>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</si>
  <si>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</si>
  <si>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</si>
  <si>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</si>
  <si>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</si>
  <si>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</si>
  <si>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</si>
  <si>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</si>
  <si>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</si>
  <si>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</si>
  <si>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</si>
  <si>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</si>
  <si>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</si>
  <si>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</si>
  <si>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</si>
  <si>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</si>
  <si>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</si>
  <si>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</si>
  <si>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</si>
  <si>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</si>
  <si>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</si>
  <si>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</si>
  <si>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</si>
  <si>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</si>
  <si>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</si>
  <si>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</si>
  <si>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</si>
  <si>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</si>
  <si>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</si>
  <si>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</si>
  <si>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</si>
  <si>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</si>
  <si>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</si>
  <si>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</si>
  <si>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</si>
  <si>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</si>
  <si>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</si>
  <si>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</si>
  <si>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</si>
  <si>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</si>
  <si>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</si>
  <si>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</si>
  <si>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</si>
  <si>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</si>
  <si>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</si>
  <si>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</si>
  <si>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</si>
  <si>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</si>
  <si>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</si>
  <si>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</si>
  <si>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</si>
  <si>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</si>
  <si>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</si>
  <si>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</si>
  <si>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</si>
  <si>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</si>
  <si>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</si>
  <si>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</si>
  <si>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</si>
  <si>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</si>
  <si>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</si>
  <si>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</si>
  <si>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</si>
  <si>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</si>
  <si>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</si>
  <si>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</si>
  <si>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</si>
  <si>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</si>
  <si>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</si>
  <si>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</si>
  <si>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</si>
  <si>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</si>
  <si>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</si>
  <si>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</si>
  <si>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</si>
  <si>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</si>
  <si>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</si>
  <si>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</si>
  <si>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</si>
  <si>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</si>
  <si>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</si>
  <si>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</si>
  <si>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0639.HK</t>
  </si>
  <si>
    <t>首鋼資源</t>
  </si>
  <si>
    <t>Tier 3</t>
  </si>
  <si>
    <t>C0017</t>
  </si>
  <si>
    <t>disagree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</si>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</sst>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0" t="s">
        <v>181</v>
      </c>
      <c r="C4" s="187" t="s">
        <v>269</v>
      </c>
    </row>
    <row r="5" spans="1:5" ht="13.9" x14ac:dyDescent="0.4">
      <c r="B5" s="140" t="s">
        <v>182</v>
      </c>
      <c r="C5" s="190" t="s">
        <v>270</v>
      </c>
    </row>
    <row r="6" spans="1:5" ht="13.9" x14ac:dyDescent="0.4">
      <c r="B6" s="140" t="s">
        <v>156</v>
      </c>
      <c r="C6" s="188">
        <v>45639</v>
      </c>
    </row>
    <row r="7" spans="1:5" ht="13.9" x14ac:dyDescent="0.4">
      <c r="B7" s="139" t="s">
        <v>4</v>
      </c>
      <c r="C7" s="189">
        <v>8</v>
      </c>
    </row>
    <row r="8" spans="1:5" ht="13.9" x14ac:dyDescent="0.4">
      <c r="B8" s="139" t="s">
        <v>202</v>
      </c>
      <c r="C8" s="190" t="s">
        <v>271</v>
      </c>
      <c r="E8" s="264"/>
    </row>
    <row r="9" spans="1:5" ht="13.9" x14ac:dyDescent="0.4">
      <c r="B9" s="139" t="s">
        <v>203</v>
      </c>
      <c r="C9" s="191" t="s">
        <v>272</v>
      </c>
    </row>
    <row r="10" spans="1:5" ht="13.9" x14ac:dyDescent="0.4">
      <c r="B10" s="139" t="s">
        <v>204</v>
      </c>
      <c r="C10" s="192">
        <v>5091065770</v>
      </c>
    </row>
    <row r="11" spans="1:5" ht="13.9" x14ac:dyDescent="0.4">
      <c r="B11" s="139" t="s">
        <v>205</v>
      </c>
      <c r="C11" s="191" t="s">
        <v>2</v>
      </c>
    </row>
    <row r="12" spans="1:5" ht="13.9" x14ac:dyDescent="0.4">
      <c r="B12" s="215" t="s">
        <v>10</v>
      </c>
      <c r="C12" s="216">
        <v>45291</v>
      </c>
    </row>
    <row r="13" spans="1:5" ht="13.9" x14ac:dyDescent="0.4">
      <c r="B13" s="215" t="s">
        <v>11</v>
      </c>
      <c r="C13" s="217">
        <v>1000</v>
      </c>
    </row>
    <row r="14" spans="1:5" ht="13.9" x14ac:dyDescent="0.4">
      <c r="B14" s="215" t="s">
        <v>206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94</v>
      </c>
      <c r="C16" s="220">
        <v>0.25</v>
      </c>
      <c r="D16" s="24"/>
    </row>
    <row r="17" spans="2:13" ht="13.9" x14ac:dyDescent="0.4">
      <c r="B17" s="237" t="s">
        <v>210</v>
      </c>
      <c r="C17" s="239" t="s">
        <v>229</v>
      </c>
      <c r="D17" s="24"/>
    </row>
    <row r="18" spans="2:13" ht="13.9" x14ac:dyDescent="0.4">
      <c r="B18" s="237" t="s">
        <v>224</v>
      </c>
      <c r="C18" s="239" t="s">
        <v>273</v>
      </c>
      <c r="D18" s="24"/>
    </row>
    <row r="19" spans="2:13" ht="13.9" x14ac:dyDescent="0.4">
      <c r="B19" s="237" t="s">
        <v>225</v>
      </c>
      <c r="C19" s="239" t="s">
        <v>273</v>
      </c>
      <c r="D19" s="24"/>
    </row>
    <row r="20" spans="2:13" ht="13.9" x14ac:dyDescent="0.4">
      <c r="B20" s="238" t="s">
        <v>214</v>
      </c>
      <c r="C20" s="239" t="s">
        <v>273</v>
      </c>
      <c r="D20" s="24"/>
    </row>
    <row r="21" spans="2:13" ht="13.9" x14ac:dyDescent="0.4">
      <c r="B21" s="221" t="s">
        <v>217</v>
      </c>
      <c r="C21" s="239" t="s">
        <v>229</v>
      </c>
      <c r="D21" s="24"/>
    </row>
    <row r="22" spans="2:13" ht="78.75" x14ac:dyDescent="0.4">
      <c r="B22" s="223" t="s">
        <v>216</v>
      </c>
      <c r="C22" s="240" t="s">
        <v>241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8">
        <v>5891068</v>
      </c>
      <c r="D25" s="148">
        <v>8214719</v>
      </c>
      <c r="E25" s="148">
        <v>7075818</v>
      </c>
      <c r="F25" s="148">
        <v>3996951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103</v>
      </c>
      <c r="C26" s="149">
        <v>2425040</v>
      </c>
      <c r="D26" s="149">
        <v>2925125</v>
      </c>
      <c r="E26" s="149">
        <v>2681244</v>
      </c>
      <c r="F26" s="149">
        <v>2127744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101</v>
      </c>
      <c r="C27" s="149">
        <f>415858+9934</f>
        <v>425792</v>
      </c>
      <c r="D27" s="149">
        <f>556324+118037</f>
        <v>674361</v>
      </c>
      <c r="E27" s="149">
        <v>477644</v>
      </c>
      <c r="F27" s="149">
        <v>498500</v>
      </c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104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2921</v>
      </c>
      <c r="D29" s="149">
        <v>1360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108</v>
      </c>
      <c r="C30" s="149">
        <v>346446</v>
      </c>
      <c r="D30" s="149">
        <v>457540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107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102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105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113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142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17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18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133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134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132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194</v>
      </c>
      <c r="C44" s="247">
        <f>0.18+0.1</f>
        <v>0.28000000000000003</v>
      </c>
      <c r="D44" s="247">
        <f>0.28+0.15</f>
        <v>0.43000000000000005</v>
      </c>
      <c r="E44" s="247">
        <f>0.32+0.08</f>
        <v>0.4</v>
      </c>
      <c r="F44" s="247">
        <f>0.09+0.075</f>
        <v>0.16499999999999998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0.10852713178294575</v>
      </c>
      <c r="D45" s="151">
        <f>IF(D44="","",D44*Exchange_Rate/Dashboard!$G$3)</f>
        <v>0.16666666666666669</v>
      </c>
      <c r="E45" s="151">
        <f>IF(E44="","",E44*Exchange_Rate/Dashboard!$G$3)</f>
        <v>0.15503875968992248</v>
      </c>
      <c r="F45" s="151">
        <f>IF(F44="","",F44*Exchange_Rate/Dashboard!$G$3)</f>
        <v>6.3953488372093012E-2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31</v>
      </c>
      <c r="D47" s="193" t="s">
        <v>183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18" t="s">
        <v>68</v>
      </c>
    </row>
    <row r="57" spans="2:5" ht="13.9" x14ac:dyDescent="0.4">
      <c r="B57" s="3" t="s">
        <v>116</v>
      </c>
      <c r="C57" s="59"/>
      <c r="D57" s="60">
        <v>0.6</v>
      </c>
      <c r="E57" s="218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19"/>
      <c r="D59" s="194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18" t="s">
        <v>68</v>
      </c>
    </row>
    <row r="66" spans="2:5" ht="13.9" x14ac:dyDescent="0.4">
      <c r="B66" s="3" t="s">
        <v>69</v>
      </c>
      <c r="C66" s="59"/>
      <c r="D66" s="60">
        <v>0.2</v>
      </c>
      <c r="E66" s="218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18" t="s">
        <v>43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3" t="s">
        <v>73</v>
      </c>
      <c r="C72" s="244"/>
      <c r="D72" s="245">
        <v>0</v>
      </c>
      <c r="E72" s="246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19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274</v>
      </c>
      <c r="D87" s="266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4" t="s">
        <v>98</v>
      </c>
      <c r="D90" s="284"/>
      <c r="E90" s="232" t="s">
        <v>99</v>
      </c>
      <c r="F90" s="252" t="s">
        <v>99</v>
      </c>
    </row>
    <row r="91" spans="2:8" ht="13.9" x14ac:dyDescent="0.4">
      <c r="B91" s="3" t="s">
        <v>122</v>
      </c>
      <c r="C91" s="77">
        <f>C25</f>
        <v>5891068</v>
      </c>
      <c r="D91" s="206"/>
      <c r="E91" s="248">
        <f>C91</f>
        <v>5891068</v>
      </c>
      <c r="F91" s="248">
        <f>C91</f>
        <v>5891068</v>
      </c>
    </row>
    <row r="92" spans="2:8" ht="13.9" x14ac:dyDescent="0.4">
      <c r="B92" s="104" t="s">
        <v>103</v>
      </c>
      <c r="C92" s="77">
        <f>C26</f>
        <v>2425040</v>
      </c>
      <c r="D92" s="158">
        <f>C92/C91</f>
        <v>0.41164692038862905</v>
      </c>
      <c r="E92" s="249">
        <f>E91*D92</f>
        <v>2425040</v>
      </c>
      <c r="F92" s="249">
        <f>F91*D92</f>
        <v>2425040</v>
      </c>
    </row>
    <row r="93" spans="2:8" ht="13.9" x14ac:dyDescent="0.4">
      <c r="B93" s="104" t="s">
        <v>231</v>
      </c>
      <c r="C93" s="77">
        <f>C27+C28</f>
        <v>425792</v>
      </c>
      <c r="D93" s="158">
        <f>C93/C91</f>
        <v>7.227755646344601E-2</v>
      </c>
      <c r="E93" s="249">
        <f>E91*D93</f>
        <v>425791.99999999994</v>
      </c>
      <c r="F93" s="249">
        <f>F91*D93</f>
        <v>425791.99999999994</v>
      </c>
    </row>
    <row r="94" spans="2:8" ht="13.9" x14ac:dyDescent="0.4">
      <c r="B94" s="104" t="s">
        <v>239</v>
      </c>
      <c r="C94" s="77">
        <f>C29</f>
        <v>2921</v>
      </c>
      <c r="D94" s="158">
        <f>C94/C91</f>
        <v>4.9583539011941466E-4</v>
      </c>
      <c r="E94" s="250"/>
      <c r="F94" s="249">
        <f>F91*D94</f>
        <v>2921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162</v>
      </c>
      <c r="C97" s="77">
        <f>MAX(C30,0)/(1-C16)</f>
        <v>461928</v>
      </c>
      <c r="D97" s="158">
        <f>C97/C91</f>
        <v>7.8411588526902082E-2</v>
      </c>
      <c r="E97" s="250"/>
      <c r="F97" s="249">
        <f>F91*D97</f>
        <v>461928</v>
      </c>
    </row>
    <row r="98" spans="2:7" ht="13.9" x14ac:dyDescent="0.4">
      <c r="B98" s="86" t="s">
        <v>194</v>
      </c>
      <c r="C98" s="234">
        <f>C44</f>
        <v>0.28000000000000003</v>
      </c>
      <c r="D98" s="263"/>
      <c r="E98" s="251">
        <f>F98</f>
        <v>0.16499999999999998</v>
      </c>
      <c r="F98" s="251">
        <f>F44</f>
        <v>0.16499999999999998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0639.HK : 首鋼資源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0639.HK</v>
      </c>
      <c r="D3" s="290"/>
      <c r="E3" s="87"/>
      <c r="F3" s="3" t="s">
        <v>1</v>
      </c>
      <c r="G3" s="131">
        <v>2.58</v>
      </c>
      <c r="H3" s="133" t="s">
        <v>275</v>
      </c>
    </row>
    <row r="4" spans="1:10" ht="15.75" customHeight="1" x14ac:dyDescent="0.4">
      <c r="B4" s="35" t="s">
        <v>182</v>
      </c>
      <c r="C4" s="291" t="str">
        <f>Inputs!C5</f>
        <v>首鋼資源</v>
      </c>
      <c r="D4" s="292"/>
      <c r="E4" s="87"/>
      <c r="F4" s="3" t="s">
        <v>3</v>
      </c>
      <c r="G4" s="295">
        <f>Inputs!C10</f>
        <v>5091065770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45639</v>
      </c>
      <c r="D5" s="294"/>
      <c r="E5" s="34"/>
      <c r="F5" s="35" t="s">
        <v>97</v>
      </c>
      <c r="G5" s="287">
        <f>G3*G4/1000000</f>
        <v>13134.949686600001</v>
      </c>
      <c r="H5" s="287"/>
      <c r="I5" s="38"/>
      <c r="J5" s="28"/>
    </row>
    <row r="6" spans="1:10" ht="15.75" customHeight="1" x14ac:dyDescent="0.4">
      <c r="B6" s="87" t="s">
        <v>4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179</v>
      </c>
      <c r="C7" s="186" t="str">
        <f>Inputs!C8</f>
        <v>Tier 3</v>
      </c>
      <c r="D7" s="186" t="str">
        <f>Inputs!C9</f>
        <v>C0017</v>
      </c>
      <c r="E7" s="87"/>
      <c r="F7" s="35" t="s">
        <v>6</v>
      </c>
      <c r="G7" s="132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8" t="s">
        <v>178</v>
      </c>
      <c r="F9" s="142" t="s">
        <v>173</v>
      </c>
    </row>
    <row r="10" spans="1:10" ht="15.75" customHeight="1" x14ac:dyDescent="0.4">
      <c r="B10" s="1" t="s">
        <v>164</v>
      </c>
      <c r="C10" s="171">
        <v>4.2000000000000003E-2</v>
      </c>
      <c r="F10" s="110" t="s">
        <v>171</v>
      </c>
    </row>
    <row r="11" spans="1:10" ht="15.75" customHeight="1" thickBot="1" x14ac:dyDescent="0.45">
      <c r="B11" s="121" t="s">
        <v>168</v>
      </c>
      <c r="C11" s="172">
        <v>5.2299999999999999E-2</v>
      </c>
      <c r="D11" s="136" t="s">
        <v>177</v>
      </c>
      <c r="F11" s="110" t="s">
        <v>166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1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1">
        <v>6.5000000000000002E-2</v>
      </c>
      <c r="F15" s="110" t="s">
        <v>169</v>
      </c>
    </row>
    <row r="16" spans="1:10" ht="15.75" customHeight="1" thickBot="1" x14ac:dyDescent="0.45">
      <c r="B16" s="121" t="s">
        <v>175</v>
      </c>
      <c r="C16" s="172">
        <v>0.16</v>
      </c>
      <c r="D16" s="262" t="str">
        <f>Inputs!C15</f>
        <v>CN</v>
      </c>
      <c r="F16" s="110" t="s">
        <v>167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49</v>
      </c>
      <c r="D19" s="87"/>
      <c r="E19" s="87"/>
      <c r="F19" s="141" t="s">
        <v>199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198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172</v>
      </c>
    </row>
    <row r="23" spans="1:8" ht="15.75" customHeight="1" thickBot="1" x14ac:dyDescent="0.45">
      <c r="B23" s="278" t="s">
        <v>257</v>
      </c>
      <c r="C23" s="279">
        <f>Data!C13</f>
        <v>0.43766393462102288</v>
      </c>
      <c r="F23" s="139" t="s">
        <v>176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4.9583539011941466E-4</v>
      </c>
      <c r="F24" s="139" t="s">
        <v>242</v>
      </c>
      <c r="G24" s="265">
        <f>G3/(Fin_Analysis!H86*G7)</f>
        <v>6.8002464285173456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163</v>
      </c>
      <c r="G25" s="170">
        <f>Fin_Analysis!I88</f>
        <v>0.43489948089355107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180</v>
      </c>
      <c r="G26" s="177">
        <f>Fin_Analysis!H88*Exchange_Rate/G3</f>
        <v>6.3953488372093012E-2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159</v>
      </c>
      <c r="D28" s="43" t="s">
        <v>160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161</v>
      </c>
      <c r="C29" s="129">
        <f>IF(Fin_Analysis!C108="Profit",Fin_Analysis!D100,IF(Fin_Analysis!C108="Dividend",Fin_Analysis!D103,Fin_Analysis!D106))</f>
        <v>1.4349639799272009</v>
      </c>
      <c r="D29" s="128">
        <f>G29*(1+G20)</f>
        <v>2.582023370142716</v>
      </c>
      <c r="E29" s="87"/>
      <c r="F29" s="130">
        <f>IF(Fin_Analysis!C108="Profit",Fin_Analysis!F100,IF(Fin_Analysis!C108="Dividend",Fin_Analysis!F103,Fin_Analysis!F106))</f>
        <v>1.688192917561413</v>
      </c>
      <c r="G29" s="286">
        <f>IF(Fin_Analysis!C108="Profit",Fin_Analysis!I100,IF(Fin_Analysis!C108="Dividend",Fin_Analysis!I103,Fin_Analysis!I106))</f>
        <v>2.2452377131675791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5" t="s">
        <v>209</v>
      </c>
      <c r="C32" s="221"/>
    </row>
    <row r="33" spans="1:3" ht="15.75" customHeight="1" x14ac:dyDescent="0.4">
      <c r="A33"/>
      <c r="B33" s="20" t="s">
        <v>210</v>
      </c>
      <c r="C33" s="242" t="str">
        <f>Inputs!C17</f>
        <v>unclear</v>
      </c>
    </row>
    <row r="34" spans="1:3" ht="15.75" customHeight="1" x14ac:dyDescent="0.4">
      <c r="A34"/>
      <c r="B34" s="19" t="s">
        <v>211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212</v>
      </c>
      <c r="C35" s="221"/>
    </row>
    <row r="36" spans="1:3" ht="15.75" customHeight="1" x14ac:dyDescent="0.4">
      <c r="A36"/>
      <c r="B36" s="20" t="s">
        <v>224</v>
      </c>
      <c r="C36" s="242" t="str">
        <f>Inputs!C18</f>
        <v>disagree</v>
      </c>
    </row>
    <row r="37" spans="1:3" ht="15.75" customHeight="1" x14ac:dyDescent="0.4">
      <c r="A37"/>
      <c r="B37" s="20" t="s">
        <v>225</v>
      </c>
      <c r="C37" s="242" t="str">
        <f>Inputs!C19</f>
        <v>disagree</v>
      </c>
    </row>
    <row r="38" spans="1:3" ht="15.75" customHeight="1" x14ac:dyDescent="0.4">
      <c r="A38"/>
      <c r="B38" s="195" t="s">
        <v>213</v>
      </c>
      <c r="C38" s="221"/>
    </row>
    <row r="39" spans="1:3" ht="15.75" customHeight="1" x14ac:dyDescent="0.4">
      <c r="A39"/>
      <c r="B39" s="19" t="s">
        <v>214</v>
      </c>
      <c r="C39" s="242" t="str">
        <f>Inputs!C20</f>
        <v>disagree</v>
      </c>
    </row>
    <row r="40" spans="1:3" ht="15.75" customHeight="1" x14ac:dyDescent="0.4">
      <c r="A40"/>
      <c r="B40" s="1" t="s">
        <v>217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3" t="s">
        <v>216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7" t="s">
        <v>186</v>
      </c>
      <c r="F2" s="118" t="s">
        <v>189</v>
      </c>
      <c r="G2" s="147" t="s">
        <v>190</v>
      </c>
      <c r="H2" s="146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0">
        <f>Inputs!C12</f>
        <v>45291</v>
      </c>
      <c r="E3" s="145" t="s">
        <v>187</v>
      </c>
      <c r="F3" s="85" t="str">
        <f>H14</f>
        <v/>
      </c>
      <c r="G3" s="85">
        <f>C14</f>
        <v>2578308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7">
        <f>Inputs!C13</f>
        <v>1000</v>
      </c>
      <c r="D4" s="1" t="str">
        <f>Dashboard!G6</f>
        <v>HKD</v>
      </c>
      <c r="E4" s="145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199">
        <f>IF(Inputs!C25=""," ",Inputs!C25)</f>
        <v>5891068</v>
      </c>
      <c r="D6" s="199">
        <f>IF(Inputs!D25="","",Inputs!D25)</f>
        <v>8214719</v>
      </c>
      <c r="E6" s="199">
        <f>IF(Inputs!E25="","",Inputs!E25)</f>
        <v>7075818</v>
      </c>
      <c r="F6" s="199">
        <f>IF(Inputs!F25="","",Inputs!F25)</f>
        <v>3996951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-0.28286433169533853</v>
      </c>
      <c r="D7" s="92">
        <f t="shared" si="1"/>
        <v>0.16095679679720432</v>
      </c>
      <c r="E7" s="92">
        <f t="shared" si="1"/>
        <v>0.77030391415856747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8">
        <f>IF(Inputs!C26="","",Inputs!C26)</f>
        <v>2425040</v>
      </c>
      <c r="D8" s="198">
        <f>IF(Inputs!D26="","",Inputs!D26)</f>
        <v>2925125</v>
      </c>
      <c r="E8" s="198">
        <f>IF(Inputs!E26="","",Inputs!E26)</f>
        <v>2681244</v>
      </c>
      <c r="F8" s="198">
        <f>IF(Inputs!F26="","",Inputs!F26)</f>
        <v>2127744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0">
        <f t="shared" ref="C9:M9" si="2">IF(C6="","",(C6-C8))</f>
        <v>3466028</v>
      </c>
      <c r="D9" s="150">
        <f t="shared" si="2"/>
        <v>5289594</v>
      </c>
      <c r="E9" s="150">
        <f t="shared" si="2"/>
        <v>4394574</v>
      </c>
      <c r="F9" s="150">
        <f t="shared" si="2"/>
        <v>1869207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8">
        <f>IF(Inputs!C27="","",Inputs!C27)</f>
        <v>425792</v>
      </c>
      <c r="D10" s="198">
        <f>IF(Inputs!D27="","",Inputs!D27)</f>
        <v>674361</v>
      </c>
      <c r="E10" s="198">
        <f>IF(Inputs!E27="","",Inputs!E27)</f>
        <v>477644</v>
      </c>
      <c r="F10" s="198">
        <f>IF(Inputs!F27="","",Inputs!F27)</f>
        <v>498500</v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8">
        <f>IF(Inputs!C30="","",MAX(Inputs!C30,0)/(1-Fin_Analysis!$I$84))</f>
        <v>461928</v>
      </c>
      <c r="D12" s="198">
        <f>IF(Inputs!D30="","",MAX(Inputs!D30,0)/(1-Fin_Analysis!$I$84))</f>
        <v>610053.33333333337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227</v>
      </c>
      <c r="C13" s="226">
        <f t="shared" ref="C13:M13" si="3">IF(C14="","",C14/C6)</f>
        <v>0.43766393462102288</v>
      </c>
      <c r="D13" s="226">
        <f t="shared" si="3"/>
        <v>0.48756137205261268</v>
      </c>
      <c r="E13" s="226">
        <f t="shared" si="3"/>
        <v>0.55356567961471026</v>
      </c>
      <c r="F13" s="226">
        <f t="shared" si="3"/>
        <v>0.3429381546083502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219</v>
      </c>
      <c r="C14" s="227">
        <f>IF(C6="","",C9-C10-MAX(C11,0)-MAX(C12,0))</f>
        <v>2578308</v>
      </c>
      <c r="D14" s="227">
        <f t="shared" ref="D14:M14" si="4">IF(D6="","",D9-D10-MAX(D11,0)-MAX(D12,0))</f>
        <v>4005179.6666666665</v>
      </c>
      <c r="E14" s="227">
        <f t="shared" si="4"/>
        <v>3916930</v>
      </c>
      <c r="F14" s="227">
        <f t="shared" si="4"/>
        <v>1370707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228</v>
      </c>
      <c r="C15" s="229">
        <f>IF(D14="","",IF(ABS(C14+D14)=ABS(C14)+ABS(D14),IF(C14&lt;0,-1,1)*(C14-D14)/D14,"Turn"))</f>
        <v>-0.35625659406540144</v>
      </c>
      <c r="D15" s="229">
        <f t="shared" ref="D15:M15" si="5">IF(E14="","",IF(ABS(D14+E14)=ABS(D14)+ABS(E14),IF(D14&lt;0,-1,1)*(D14-E14)/E14,"Turn"))</f>
        <v>2.2530314983077695E-2</v>
      </c>
      <c r="E15" s="229">
        <f t="shared" si="5"/>
        <v>1.8575983051082399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2921</v>
      </c>
      <c r="D17" s="198">
        <f>IF(Inputs!D29="","",Inputs!D29)</f>
        <v>1360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0">
        <f>IF(C6="","",C14-MAX(C16,0)-MAX(C17,0)-ABS(MAX(C21,0)-MAX(C19,0)))</f>
        <v>2575387</v>
      </c>
      <c r="D22" s="160">
        <f t="shared" ref="D22:M22" si="8">IF(D6="","",D14-MAX(D16,0)-MAX(D17,0)-ABS(MAX(D21,0)-MAX(D19,0)))</f>
        <v>4003819.6666666665</v>
      </c>
      <c r="E22" s="160">
        <f t="shared" si="8"/>
        <v>3916930</v>
      </c>
      <c r="F22" s="160">
        <f t="shared" si="8"/>
        <v>1370707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2">
        <f t="shared" ref="C23:M23" si="9">IF(C6="","",C24/C6)</f>
        <v>0.32787607442317762</v>
      </c>
      <c r="D23" s="152">
        <f t="shared" si="9"/>
        <v>0.36554686167597455</v>
      </c>
      <c r="E23" s="152">
        <f t="shared" si="9"/>
        <v>0.41517425971103272</v>
      </c>
      <c r="F23" s="152">
        <f t="shared" si="9"/>
        <v>0.25720361595626268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3">
        <f>IF(C6="","",C22*(1-Fin_Analysis!$I$84))</f>
        <v>1931540.25</v>
      </c>
      <c r="D24" s="77">
        <f>IF(D6="","",D22*(1-Fin_Analysis!$I$84))</f>
        <v>3002864.75</v>
      </c>
      <c r="E24" s="77">
        <f>IF(E6="","",E22*(1-Fin_Analysis!$I$84))</f>
        <v>2937697.5</v>
      </c>
      <c r="F24" s="77">
        <f>IF(F6="","",F22*(1-Fin_Analysis!$I$84))</f>
        <v>1028030.25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124</v>
      </c>
      <c r="C25" s="230">
        <f>IF(D24="","",IF(ABS(C24+D24)=ABS(C24)+ABS(D24),IF(C24&lt;0,-1,1)*(C24-D24)/D24,"Turn"))</f>
        <v>-0.35676748345059495</v>
      </c>
      <c r="D25" s="230">
        <f t="shared" ref="D25:M25" si="10">IF(E24="","",IF(ABS(D24+E24)=ABS(D24)+ABS(E24),IF(D24&lt;0,-1,1)*(D24-E24)/E24,"Turn"))</f>
        <v>2.2183104284903398E-2</v>
      </c>
      <c r="E25" s="230">
        <f t="shared" si="10"/>
        <v>1.8575983051082399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113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142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17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18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133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134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132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136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150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95</v>
      </c>
      <c r="C40" s="155">
        <f t="shared" ref="C40:M40" si="34">IF(C6="","",C8/C6)</f>
        <v>0.41164692038862905</v>
      </c>
      <c r="D40" s="155">
        <f t="shared" si="34"/>
        <v>0.35608339128824734</v>
      </c>
      <c r="E40" s="155">
        <f t="shared" si="34"/>
        <v>0.37893060562043851</v>
      </c>
      <c r="F40" s="155">
        <f t="shared" si="34"/>
        <v>0.53234177751991452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2">
        <f t="shared" ref="C41:M41" si="35">IF(C6="","",(C10+MAX(C11,0))/C6)</f>
        <v>7.227755646344601E-2</v>
      </c>
      <c r="D41" s="152">
        <f t="shared" si="35"/>
        <v>8.2091791575585243E-2</v>
      </c>
      <c r="E41" s="152">
        <f t="shared" si="35"/>
        <v>6.7503714764851216E-2</v>
      </c>
      <c r="F41" s="152">
        <f t="shared" si="35"/>
        <v>0.12472006787173523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106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118</v>
      </c>
      <c r="C43" s="152">
        <f t="shared" ref="C43:M43" si="37">IF(C6="","",MAX(C17,0)/C6)</f>
        <v>4.9583539011941466E-4</v>
      </c>
      <c r="D43" s="152">
        <f t="shared" si="37"/>
        <v>1.6555648464664465E-4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125</v>
      </c>
      <c r="C44" s="152">
        <f t="shared" ref="C44:M44" si="38">IF(C6="","",MAX(C12,0)/C6)</f>
        <v>7.8411588526902082E-2</v>
      </c>
      <c r="D44" s="152">
        <f t="shared" si="38"/>
        <v>7.4263445083554702E-2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120</v>
      </c>
      <c r="C46" s="152">
        <f t="shared" ref="C46:M46" si="40">IF(C6="","",C22/C6)</f>
        <v>0.43716809923090344</v>
      </c>
      <c r="D46" s="152">
        <f t="shared" si="40"/>
        <v>0.48739581556796607</v>
      </c>
      <c r="E46" s="152">
        <f t="shared" si="40"/>
        <v>0.55356567961471026</v>
      </c>
      <c r="F46" s="152">
        <f t="shared" si="40"/>
        <v>0.3429381546083502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117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119</v>
      </c>
      <c r="C55" s="152">
        <f t="shared" ref="C55:M55" si="47">IF(C22="","",IF(MAX(C17,0)&lt;=0,"-",C17/C22))</f>
        <v>1.1341984719189775E-3</v>
      </c>
      <c r="D55" s="152">
        <f t="shared" si="47"/>
        <v>3.3967563807194446E-4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20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23</v>
      </c>
      <c r="I3" s="282">
        <f>D3-D4</f>
        <v>0</v>
      </c>
      <c r="K3" s="24"/>
    </row>
    <row r="4" spans="1:11" ht="15" customHeight="1" x14ac:dyDescent="0.4">
      <c r="B4" s="3" t="s">
        <v>24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183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40</v>
      </c>
      <c r="I14" s="203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3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81">
        <f>I49-I28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144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145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122</v>
      </c>
      <c r="C74" s="77">
        <f>Data!C6</f>
        <v>5891068</v>
      </c>
      <c r="D74" s="206"/>
      <c r="E74" s="235">
        <f>Inputs!E91</f>
        <v>5891068</v>
      </c>
      <c r="F74" s="206"/>
      <c r="H74" s="235">
        <f>Inputs!F91</f>
        <v>5891068</v>
      </c>
      <c r="I74" s="206"/>
      <c r="K74" s="24"/>
    </row>
    <row r="75" spans="1:11" ht="15" customHeight="1" x14ac:dyDescent="0.4">
      <c r="B75" s="104" t="s">
        <v>103</v>
      </c>
      <c r="C75" s="77">
        <f>Data!C8</f>
        <v>2425040</v>
      </c>
      <c r="D75" s="158">
        <f>C75/$C$74</f>
        <v>0.41164692038862905</v>
      </c>
      <c r="E75" s="235">
        <f>Inputs!E92</f>
        <v>2425040</v>
      </c>
      <c r="F75" s="159">
        <f>E75/E74</f>
        <v>0.41164692038862905</v>
      </c>
      <c r="H75" s="235">
        <f>Inputs!F92</f>
        <v>2425040</v>
      </c>
      <c r="I75" s="159">
        <f>H75/$H$74</f>
        <v>0.41164692038862905</v>
      </c>
      <c r="K75" s="24"/>
    </row>
    <row r="76" spans="1:11" ht="15" customHeight="1" x14ac:dyDescent="0.4">
      <c r="B76" s="35" t="s">
        <v>93</v>
      </c>
      <c r="C76" s="160">
        <f>C74-C75</f>
        <v>3466028</v>
      </c>
      <c r="D76" s="207"/>
      <c r="E76" s="161">
        <f>E74-E75</f>
        <v>3466028</v>
      </c>
      <c r="F76" s="207"/>
      <c r="H76" s="161">
        <f>H74-H75</f>
        <v>3466028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425792</v>
      </c>
      <c r="D77" s="158">
        <f>C77/$C$74</f>
        <v>7.227755646344601E-2</v>
      </c>
      <c r="E77" s="235">
        <f>Inputs!E93</f>
        <v>425791.99999999994</v>
      </c>
      <c r="F77" s="159">
        <f>E77/E74</f>
        <v>7.227755646344601E-2</v>
      </c>
      <c r="H77" s="235">
        <f>Inputs!F93</f>
        <v>425791.99999999994</v>
      </c>
      <c r="I77" s="159">
        <f>H77/$H$74</f>
        <v>7.227755646344601E-2</v>
      </c>
      <c r="K77" s="24"/>
    </row>
    <row r="78" spans="1:11" ht="15" customHeight="1" x14ac:dyDescent="0.4">
      <c r="B78" s="73" t="s">
        <v>162</v>
      </c>
      <c r="C78" s="77">
        <f>MAX(Data!C12,0)</f>
        <v>461928</v>
      </c>
      <c r="D78" s="158">
        <f>C78/$C$74</f>
        <v>7.8411588526902082E-2</v>
      </c>
      <c r="E78" s="179">
        <f>E74*F78</f>
        <v>461928</v>
      </c>
      <c r="F78" s="159">
        <f>I78</f>
        <v>7.8411588526902082E-2</v>
      </c>
      <c r="H78" s="235">
        <f>Inputs!F97</f>
        <v>461928</v>
      </c>
      <c r="I78" s="159">
        <f>H78/$H$74</f>
        <v>7.8411588526902082E-2</v>
      </c>
      <c r="K78" s="24"/>
    </row>
    <row r="79" spans="1:11" ht="15" customHeight="1" x14ac:dyDescent="0.4">
      <c r="B79" s="253" t="s">
        <v>218</v>
      </c>
      <c r="C79" s="254">
        <f>C76-C77-C78</f>
        <v>2578308</v>
      </c>
      <c r="D79" s="255">
        <f>C79/C74</f>
        <v>0.43766393462102288</v>
      </c>
      <c r="E79" s="256">
        <f>E76-E77-E78</f>
        <v>2578308</v>
      </c>
      <c r="F79" s="255">
        <f>E79/E74</f>
        <v>0.43766393462102288</v>
      </c>
      <c r="G79" s="257"/>
      <c r="H79" s="256">
        <f>H76-H77-H78</f>
        <v>2578308</v>
      </c>
      <c r="I79" s="255">
        <f>H79/H74</f>
        <v>0.43766393462102288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127</v>
      </c>
    </row>
    <row r="81" spans="1:11" ht="15" customHeight="1" x14ac:dyDescent="0.4">
      <c r="B81" s="104" t="s">
        <v>239</v>
      </c>
      <c r="C81" s="77">
        <f>MAX(Data!C17,0)</f>
        <v>2921</v>
      </c>
      <c r="D81" s="158">
        <f>C81/$C$74</f>
        <v>4.9583539011941466E-4</v>
      </c>
      <c r="E81" s="179">
        <f>E74*F81</f>
        <v>2921</v>
      </c>
      <c r="F81" s="159">
        <f>I81</f>
        <v>4.9583539011941466E-4</v>
      </c>
      <c r="H81" s="235">
        <f>Inputs!F94</f>
        <v>2921</v>
      </c>
      <c r="I81" s="159">
        <f>H81/$H$74</f>
        <v>4.9583539011941466E-4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121</v>
      </c>
      <c r="C83" s="162">
        <f>C79-C81-C82-C80</f>
        <v>2575387</v>
      </c>
      <c r="D83" s="163">
        <f>C83/$C$74</f>
        <v>0.43716809923090344</v>
      </c>
      <c r="E83" s="164">
        <f>E79-E81-E82-E80</f>
        <v>2575387</v>
      </c>
      <c r="F83" s="163">
        <f>E83/E74</f>
        <v>0.43716809923090344</v>
      </c>
      <c r="H83" s="164">
        <f>H79-H81-H82-H80</f>
        <v>2575387</v>
      </c>
      <c r="I83" s="163">
        <f>H83/$H$74</f>
        <v>0.43716809923090344</v>
      </c>
      <c r="K83" s="24"/>
    </row>
    <row r="84" spans="1:11" ht="15" customHeight="1" thickTop="1" x14ac:dyDescent="0.4">
      <c r="B84" s="28" t="s">
        <v>94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157</v>
      </c>
      <c r="C85" s="254">
        <f>C83*(1-I84)</f>
        <v>1931540.25</v>
      </c>
      <c r="D85" s="255">
        <f>C85/$C$74</f>
        <v>0.32787607442317762</v>
      </c>
      <c r="E85" s="261">
        <f>E83*(1-F84)</f>
        <v>1931540.25</v>
      </c>
      <c r="F85" s="255">
        <f>E85/E74</f>
        <v>0.32787607442317762</v>
      </c>
      <c r="G85" s="257"/>
      <c r="H85" s="261">
        <f>H83*(1-I84)</f>
        <v>1931540.25</v>
      </c>
      <c r="I85" s="255">
        <f>H85/$H$74</f>
        <v>0.32787607442317762</v>
      </c>
      <c r="K85" s="24"/>
    </row>
    <row r="86" spans="1:11" ht="15" customHeight="1" x14ac:dyDescent="0.4">
      <c r="B86" s="87" t="s">
        <v>153</v>
      </c>
      <c r="C86" s="166">
        <f>C85*Data!C4/Common_Shares</f>
        <v>0.37939801551611069</v>
      </c>
      <c r="D86" s="206"/>
      <c r="E86" s="167">
        <f>E85*Data!C4/Common_Shares</f>
        <v>0.37939801551611069</v>
      </c>
      <c r="F86" s="206"/>
      <c r="H86" s="167">
        <f>H85*Data!C4/Common_Shares</f>
        <v>0.37939801551611069</v>
      </c>
      <c r="I86" s="206"/>
      <c r="K86" s="24"/>
    </row>
    <row r="87" spans="1:11" ht="15" customHeight="1" x14ac:dyDescent="0.4">
      <c r="B87" s="87" t="s">
        <v>195</v>
      </c>
      <c r="C87" s="258">
        <f>C86*Exchange_Rate/Dashboard!G3</f>
        <v>0.14705349438608942</v>
      </c>
      <c r="D87" s="206"/>
      <c r="E87" s="259">
        <f>E86*Exchange_Rate/Dashboard!G3</f>
        <v>0.14705349438608942</v>
      </c>
      <c r="F87" s="206"/>
      <c r="H87" s="259">
        <f>H86*Exchange_Rate/Dashboard!G3</f>
        <v>0.14705349438608942</v>
      </c>
      <c r="I87" s="206"/>
      <c r="K87" s="24"/>
    </row>
    <row r="88" spans="1:11" ht="15" customHeight="1" x14ac:dyDescent="0.4">
      <c r="B88" s="86" t="s">
        <v>194</v>
      </c>
      <c r="C88" s="168">
        <f>Inputs!C44</f>
        <v>0.28000000000000003</v>
      </c>
      <c r="D88" s="165">
        <f>C88/C86</f>
        <v>0.73801124030420806</v>
      </c>
      <c r="E88" s="169">
        <f>Inputs!E98</f>
        <v>0.16499999999999998</v>
      </c>
      <c r="F88" s="165">
        <f>E88/E86</f>
        <v>0.43489948089355107</v>
      </c>
      <c r="H88" s="169">
        <f>Inputs!F98</f>
        <v>0.16499999999999998</v>
      </c>
      <c r="I88" s="165">
        <f>H88/H86</f>
        <v>0.43489948089355107</v>
      </c>
      <c r="K88" s="24"/>
    </row>
    <row r="89" spans="1:11" ht="15" customHeight="1" x14ac:dyDescent="0.4">
      <c r="B89" s="87" t="s">
        <v>207</v>
      </c>
      <c r="C89" s="258">
        <f>C88*Exchange_Rate/Dashboard!G3</f>
        <v>0.10852713178294575</v>
      </c>
      <c r="D89" s="206"/>
      <c r="E89" s="258">
        <f>E88*Exchange_Rate/Dashboard!G3</f>
        <v>6.3953488372093012E-2</v>
      </c>
      <c r="F89" s="206"/>
      <c r="H89" s="258">
        <f>H88*Exchange_Rate/Dashboard!G3</f>
        <v>6.3953488372093012E-2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7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196</v>
      </c>
      <c r="F93" s="143">
        <f>FV(E87,D93,0,-(E86/(C93-D94)))*Exchange_Rate</f>
        <v>11.37175602956761</v>
      </c>
      <c r="H93" s="87" t="s">
        <v>196</v>
      </c>
      <c r="I93" s="143">
        <f>FV(H87,D93,0,-(H86/(C93-D94)))*Exchange_Rate</f>
        <v>11.37175602956761</v>
      </c>
      <c r="K93" s="24"/>
    </row>
    <row r="94" spans="1:11" ht="15" customHeight="1" x14ac:dyDescent="0.4">
      <c r="B94" s="1" t="s">
        <v>198</v>
      </c>
      <c r="C94" s="181">
        <f>Dashboard!G20</f>
        <v>0.15</v>
      </c>
      <c r="D94" s="267">
        <f>Inputs!D87</f>
        <v>0.02</v>
      </c>
      <c r="E94" s="87" t="s">
        <v>197</v>
      </c>
      <c r="F94" s="143">
        <f>FV(E89,D93,0,-(E88/(C93-D94)))*Exchange_Rate</f>
        <v>3.395558958623742</v>
      </c>
      <c r="H94" s="87" t="s">
        <v>197</v>
      </c>
      <c r="I94" s="143">
        <f>FV(H89,D93,0,-(H88/(C93-D94)))*Exchange_Rate</f>
        <v>3.395558958623742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200</v>
      </c>
      <c r="E96" s="182" t="str">
        <f>E72</f>
        <v>Pessimistic Case</v>
      </c>
      <c r="F96" s="224" t="s">
        <v>223</v>
      </c>
      <c r="H96" s="182" t="str">
        <f>H72</f>
        <v>Base Case</v>
      </c>
      <c r="I96" s="123" t="s">
        <v>112</v>
      </c>
      <c r="K96" s="24"/>
    </row>
    <row r="97" spans="2:11" ht="15" customHeight="1" x14ac:dyDescent="0.4">
      <c r="B97" s="1" t="s">
        <v>126</v>
      </c>
      <c r="C97" s="91">
        <f>H97*Common_Shares/Data!C4</f>
        <v>28783727.836467527</v>
      </c>
      <c r="D97" s="210"/>
      <c r="E97" s="122">
        <f>PV(C94,D93,0,-F93)</f>
        <v>5.6537725373890675</v>
      </c>
      <c r="F97" s="210"/>
      <c r="H97" s="122">
        <f>PV(C94,D93,0,-I93)</f>
        <v>5.6537725373890675</v>
      </c>
      <c r="I97" s="122">
        <f>PV(C93,D93,0,-I93)</f>
        <v>7.5193203280070664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112</v>
      </c>
      <c r="C100" s="91">
        <f>C97+C98+$C$99</f>
        <v>28783727.836467527</v>
      </c>
      <c r="D100" s="109">
        <f>MIN(F100*(1-C94),E100)</f>
        <v>4.805706656780707</v>
      </c>
      <c r="E100" s="109">
        <f>MAX(E97+H98+E99,0)</f>
        <v>5.6537725373890675</v>
      </c>
      <c r="F100" s="109">
        <f>(E100+H100)/2</f>
        <v>5.6537725373890675</v>
      </c>
      <c r="H100" s="109">
        <f>MAX(C100*Data!$C$4/Common_Shares,0)</f>
        <v>5.6537725373890675</v>
      </c>
      <c r="I100" s="109">
        <f>MAX(I97+H98+H99,0)</f>
        <v>7.5193203280070664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6" t="str">
        <f>C96</f>
        <v>HKD</v>
      </c>
      <c r="D102" s="123" t="s">
        <v>200</v>
      </c>
      <c r="E102" s="182" t="str">
        <f>E96</f>
        <v>Pessimistic Case</v>
      </c>
      <c r="F102" s="224" t="s">
        <v>223</v>
      </c>
      <c r="H102" s="182" t="str">
        <f>H96</f>
        <v>Base Case</v>
      </c>
      <c r="I102" s="123" t="s">
        <v>112</v>
      </c>
      <c r="K102" s="24"/>
    </row>
    <row r="103" spans="2:11" ht="15" customHeight="1" x14ac:dyDescent="0.4">
      <c r="B103" s="1" t="s">
        <v>154</v>
      </c>
      <c r="C103" s="91">
        <f>H103*Common_Shares/Data!C4</f>
        <v>8594701.175753342</v>
      </c>
      <c r="D103" s="109">
        <f>MIN(F103*(1-C94),E103)</f>
        <v>1.4349639799272009</v>
      </c>
      <c r="E103" s="122">
        <f>PV(C94,D93,0,-F94)</f>
        <v>1.688192917561413</v>
      </c>
      <c r="F103" s="109">
        <f>(E103+H103)/2</f>
        <v>1.688192917561413</v>
      </c>
      <c r="H103" s="122">
        <f>PV(C94,D93,0,-I94)</f>
        <v>1.688192917561413</v>
      </c>
      <c r="I103" s="109">
        <f>PV(C93,D93,0,-I94)</f>
        <v>2.2452377131675791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6" t="str">
        <f>C102</f>
        <v>HKD</v>
      </c>
      <c r="D105" s="123" t="s">
        <v>200</v>
      </c>
      <c r="E105" s="183" t="str">
        <f>E96</f>
        <v>Pessimistic Case</v>
      </c>
      <c r="F105" s="224" t="s">
        <v>223</v>
      </c>
      <c r="H105" s="183" t="str">
        <f>H96</f>
        <v>Base Case</v>
      </c>
      <c r="I105" s="123" t="s">
        <v>112</v>
      </c>
      <c r="K105" s="24"/>
    </row>
    <row r="106" spans="2:11" ht="15" customHeight="1" x14ac:dyDescent="0.4">
      <c r="B106" s="1" t="s">
        <v>185</v>
      </c>
      <c r="C106" s="91">
        <f>E106*Common_Shares/Data!C4</f>
        <v>18689214.506110437</v>
      </c>
      <c r="D106" s="109">
        <f>(D100+D103)/2</f>
        <v>3.1203353183539537</v>
      </c>
      <c r="E106" s="122">
        <f>(E100+E103)/2</f>
        <v>3.6709827274752405</v>
      </c>
      <c r="F106" s="109">
        <f>(F100+F103)/2</f>
        <v>3.6709827274752405</v>
      </c>
      <c r="H106" s="122">
        <f>(H100+H103)/2</f>
        <v>3.6709827274752405</v>
      </c>
      <c r="I106" s="122">
        <f>(I100+I103)/2</f>
        <v>4.8822790205873225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