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88C7398-581F-4FE5-ADAF-E6D07D0331A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4" i="4"/>
  <c r="F93" i="4"/>
  <c r="E93" i="4"/>
  <c r="F92" i="4"/>
  <c r="F91" i="4"/>
  <c r="F97" i="4" s="1"/>
  <c r="E91" i="4"/>
  <c r="E92" i="4" s="1"/>
  <c r="C78" i="4"/>
  <c r="D71" i="4"/>
  <c r="D69" i="4"/>
  <c r="D68" i="4"/>
  <c r="C68" i="4"/>
  <c r="D62" i="4"/>
  <c r="D63" i="4" s="1"/>
  <c r="D61" i="4"/>
  <c r="C61" i="4"/>
  <c r="D60" i="4"/>
  <c r="D59" i="4"/>
  <c r="D58" i="4"/>
  <c r="C58" i="4"/>
  <c r="D56" i="4"/>
  <c r="D55" i="4"/>
  <c r="D53" i="4"/>
  <c r="D50" i="4"/>
  <c r="C50" i="4"/>
  <c r="D4" i="3"/>
  <c r="D3" i="3"/>
  <c r="I3" i="3" s="1"/>
  <c r="I49" i="3"/>
  <c r="C34" i="2"/>
  <c r="C30" i="2"/>
  <c r="E34" i="2"/>
  <c r="E27" i="2" s="1"/>
  <c r="F34" i="2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E95" i="4" l="1"/>
  <c r="F95" i="4"/>
  <c r="F96" i="4"/>
  <c r="F27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<sst xmlns="http://schemas.openxmlformats.org/spreadsheetml/2006/main" count="392" uniqueCount="274">
  <si>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</si>
  <si>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</si>
  <si>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</si>
  <si>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</si>
  <si>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</si>
  <si>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</si>
  <si>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</si>
  <si>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</si>
  <si>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</si>
  <si>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</si>
  <si>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</si>
  <si>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</si>
  <si>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</si>
  <si>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</si>
  <si>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</si>
  <si>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</si>
  <si>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</si>
  <si>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</si>
  <si>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</si>
  <si>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</si>
  <si>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</si>
  <si>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</si>
  <si>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</si>
  <si>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</si>
  <si>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</si>
  <si>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</si>
  <si>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</si>
  <si>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</si>
  <si>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</si>
  <si>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</si>
  <si>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</si>
  <si>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</si>
  <si>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</si>
  <si>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</si>
  <si>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</si>
  <si>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</si>
  <si>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</si>
  <si>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</si>
  <si>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</si>
  <si>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</si>
  <si>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</si>
  <si>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</si>
  <si>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</si>
  <si>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</si>
  <si>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</si>
  <si>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</si>
  <si>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</si>
  <si>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</si>
  <si>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</si>
  <si>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</si>
  <si>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</si>
  <si>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</si>
  <si>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</si>
  <si>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</si>
  <si>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</si>
  <si>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</si>
  <si>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</si>
  <si>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</si>
  <si>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</si>
  <si>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</si>
  <si>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</si>
  <si>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</si>
  <si>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</si>
  <si>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</si>
  <si>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</si>
  <si>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</si>
  <si>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</si>
  <si>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</si>
  <si>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</si>
  <si>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</si>
  <si>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</si>
  <si>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</si>
  <si>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</si>
  <si>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</si>
  <si>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</si>
  <si>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</si>
  <si>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</si>
  <si>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</si>
  <si>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</si>
  <si>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</si>
  <si>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</si>
  <si>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</si>
  <si>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</si>
  <si>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</si>
  <si>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</si>
  <si>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</si>
  <si>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</si>
  <si>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</si>
  <si>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</si>
  <si>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</si>
  <si>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</si>
  <si>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</si>
  <si>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</si>
  <si>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</si>
  <si>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</si>
  <si>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</si>
  <si>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</si>
  <si>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</si>
  <si>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</si>
  <si>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</si>
  <si>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</si>
  <si>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</si>
  <si>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</si>
  <si>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</si>
  <si>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</si>
  <si>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</si>
  <si>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</si>
  <si>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</si>
  <si>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</si>
  <si>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</si>
  <si>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</si>
  <si>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</si>
  <si>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</si>
  <si>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</si>
  <si>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</si>
  <si>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</si>
  <si>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</si>
  <si>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</si>
  <si>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</si>
  <si>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</si>
  <si>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</si>
  <si>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</si>
  <si>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</si>
  <si>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</si>
  <si>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</si>
  <si>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</si>
  <si>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</si>
  <si>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</si>
  <si>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</si>
  <si>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</si>
  <si>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</si>
  <si>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</si>
  <si>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</si>
  <si>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</si>
  <si>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</si>
  <si>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</si>
  <si>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</si>
  <si>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</si>
  <si>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</si>
  <si>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</si>
  <si>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</si>
  <si>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</si>
  <si>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</si>
  <si>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</si>
  <si>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</si>
  <si>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</si>
  <si>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</si>
  <si>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</si>
  <si>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</si>
  <si>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</si>
  <si>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</si>
  <si>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</si>
  <si>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</si>
  <si>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</si>
  <si>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</si>
  <si>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</si>
  <si>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</si>
  <si>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</si>
  <si>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</si>
  <si>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</si>
  <si>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</si>
  <si>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</si>
  <si>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</si>
  <si>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</si>
  <si>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</si>
  <si>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</si>
  <si>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</si>
  <si>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</si>
  <si>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</si>
  <si>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</si>
  <si>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</si>
  <si>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</si>
  <si>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</si>
  <si>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</si>
  <si>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</si>
  <si>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</si>
  <si>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</si>
  <si>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</si>
  <si>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</si>
  <si>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</si>
  <si>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</si>
  <si>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</si>
  <si>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</si>
  <si>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</si>
  <si>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</si>
  <si>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</si>
  <si>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</si>
  <si>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</si>
  <si>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</si>
  <si>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</si>
  <si>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</si>
  <si>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</si>
  <si>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</si>
  <si>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</si>
  <si>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</si>
  <si>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</si>
  <si>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</si>
  <si>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</si>
  <si>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</si>
  <si>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</si>
  <si>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</si>
  <si>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</si>
  <si>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</si>
  <si>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</si>
  <si>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</si>
  <si>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</si>
  <si>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</si>
  <si>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</si>
  <si>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</si>
  <si>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</si>
  <si>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</si>
  <si>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</si>
  <si>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</si>
  <si>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</si>
  <si>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</si>
  <si>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</si>
  <si>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</si>
  <si>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</si>
  <si>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</si>
  <si>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</si>
  <si>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</si>
  <si>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</si>
  <si>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</si>
  <si>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</si>
  <si>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</si>
  <si>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</si>
  <si>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</si>
  <si>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</si>
  <si>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</si>
  <si>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</si>
  <si>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</si>
  <si>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</si>
  <si>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</si>
  <si>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</si>
  <si>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</si>
  <si>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</si>
  <si>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</si>
  <si>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</si>
  <si>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</si>
  <si>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</si>
  <si>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</si>
  <si>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</si>
  <si>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</si>
  <si>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</si>
  <si>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</si>
  <si>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</si>
  <si>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</si>
  <si>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</si>
  <si>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</si>
  <si>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</si>
  <si>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</si>
  <si>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</si>
  <si>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</si>
  <si>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</si>
  <si>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</si>
  <si>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</si>
  <si>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</si>
  <si>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</si>
  <si>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</si>
  <si>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</si>
  <si>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</si>
  <si>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</si>
  <si>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</si>
  <si>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</si>
  <si>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</si>
  <si>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</si>
  <si>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</si>
  <si>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</si>
  <si>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</si>
  <si>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0683.HK</t>
  </si>
  <si>
    <t>嘉里建設</t>
  </si>
  <si>
    <t>C0005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</si>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</sst>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0" t="s">
        <v>181</v>
      </c>
      <c r="C4" s="187" t="s">
        <v>269</v>
      </c>
    </row>
    <row r="5" spans="1:5" ht="13.9" x14ac:dyDescent="0.4">
      <c r="B5" s="140" t="s">
        <v>182</v>
      </c>
      <c r="C5" s="190" t="s">
        <v>270</v>
      </c>
    </row>
    <row r="6" spans="1:5" ht="13.9" x14ac:dyDescent="0.4">
      <c r="B6" s="140" t="s">
        <v>156</v>
      </c>
      <c r="C6" s="188">
        <v>45639</v>
      </c>
    </row>
    <row r="7" spans="1:5" ht="13.9" x14ac:dyDescent="0.4">
      <c r="B7" s="139" t="s">
        <v>4</v>
      </c>
      <c r="C7" s="189">
        <v>8</v>
      </c>
    </row>
    <row r="8" spans="1:5" ht="13.9" x14ac:dyDescent="0.4">
      <c r="B8" s="139" t="s">
        <v>202</v>
      </c>
      <c r="C8" s="190" t="s">
        <v>68</v>
      </c>
      <c r="E8" s="264"/>
    </row>
    <row r="9" spans="1:5" ht="13.9" x14ac:dyDescent="0.4">
      <c r="B9" s="139" t="s">
        <v>203</v>
      </c>
      <c r="C9" s="191" t="s">
        <v>271</v>
      </c>
    </row>
    <row r="10" spans="1:5" ht="13.9" x14ac:dyDescent="0.4">
      <c r="B10" s="139" t="s">
        <v>204</v>
      </c>
      <c r="C10" s="192">
        <v>1451305728</v>
      </c>
    </row>
    <row r="11" spans="1:5" ht="13.9" x14ac:dyDescent="0.4">
      <c r="B11" s="139" t="s">
        <v>205</v>
      </c>
      <c r="C11" s="191" t="s">
        <v>2</v>
      </c>
    </row>
    <row r="12" spans="1:5" ht="13.9" x14ac:dyDescent="0.4">
      <c r="B12" s="215" t="s">
        <v>10</v>
      </c>
      <c r="C12" s="216">
        <v>45291</v>
      </c>
    </row>
    <row r="13" spans="1:5" ht="13.9" x14ac:dyDescent="0.4">
      <c r="B13" s="215" t="s">
        <v>11</v>
      </c>
      <c r="C13" s="217">
        <v>1000</v>
      </c>
    </row>
    <row r="14" spans="1:5" ht="13.9" x14ac:dyDescent="0.4">
      <c r="B14" s="215" t="s">
        <v>206</v>
      </c>
      <c r="C14" s="216">
        <v>45473</v>
      </c>
    </row>
    <row r="15" spans="1:5" ht="13.9" x14ac:dyDescent="0.4">
      <c r="B15" s="215" t="s">
        <v>238</v>
      </c>
      <c r="C15" s="175" t="s">
        <v>243</v>
      </c>
    </row>
    <row r="16" spans="1:5" ht="13.9" x14ac:dyDescent="0.4">
      <c r="B16" s="219" t="s">
        <v>94</v>
      </c>
      <c r="C16" s="220">
        <v>0.25</v>
      </c>
      <c r="D16" s="24"/>
    </row>
    <row r="17" spans="2:13" ht="13.9" x14ac:dyDescent="0.4">
      <c r="B17" s="237" t="s">
        <v>210</v>
      </c>
      <c r="C17" s="239" t="s">
        <v>229</v>
      </c>
      <c r="D17" s="24"/>
    </row>
    <row r="18" spans="2:13" ht="13.9" x14ac:dyDescent="0.4">
      <c r="B18" s="237" t="s">
        <v>224</v>
      </c>
      <c r="C18" s="239" t="s">
        <v>229</v>
      </c>
      <c r="D18" s="24"/>
    </row>
    <row r="19" spans="2:13" ht="13.9" x14ac:dyDescent="0.4">
      <c r="B19" s="237" t="s">
        <v>225</v>
      </c>
      <c r="C19" s="239" t="s">
        <v>229</v>
      </c>
      <c r="D19" s="24"/>
    </row>
    <row r="20" spans="2:13" ht="13.9" x14ac:dyDescent="0.4">
      <c r="B20" s="238" t="s">
        <v>214</v>
      </c>
      <c r="C20" s="239" t="s">
        <v>229</v>
      </c>
      <c r="D20" s="24"/>
    </row>
    <row r="21" spans="2:13" ht="13.9" x14ac:dyDescent="0.4">
      <c r="B21" s="221" t="s">
        <v>217</v>
      </c>
      <c r="C21" s="239" t="s">
        <v>229</v>
      </c>
      <c r="D21" s="24"/>
    </row>
    <row r="22" spans="2:13" ht="78.75" x14ac:dyDescent="0.4">
      <c r="B22" s="223" t="s">
        <v>216</v>
      </c>
      <c r="C22" s="240" t="s">
        <v>241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8">
        <v>13089628</v>
      </c>
      <c r="D25" s="148">
        <v>14590475</v>
      </c>
      <c r="E25" s="148">
        <v>15326764</v>
      </c>
      <c r="F25" s="148">
        <v>14526102</v>
      </c>
      <c r="G25" s="148">
        <v>18025422</v>
      </c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103</v>
      </c>
      <c r="C26" s="149">
        <v>6368352</v>
      </c>
      <c r="D26" s="149">
        <v>7605791</v>
      </c>
      <c r="E26" s="149">
        <v>6583757</v>
      </c>
      <c r="F26" s="149">
        <v>6139239</v>
      </c>
      <c r="G26" s="149">
        <v>9041440</v>
      </c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101</v>
      </c>
      <c r="C27" s="149">
        <v>1783204</v>
      </c>
      <c r="D27" s="149">
        <v>1720023</v>
      </c>
      <c r="E27" s="149">
        <v>2003343</v>
      </c>
      <c r="F27" s="149">
        <v>1613699</v>
      </c>
      <c r="G27" s="149">
        <v>1602120</v>
      </c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104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239</v>
      </c>
      <c r="C29" s="149">
        <v>599686</v>
      </c>
      <c r="D29" s="149">
        <v>317225</v>
      </c>
      <c r="E29" s="149">
        <v>562656</v>
      </c>
      <c r="F29" s="149">
        <v>781715</v>
      </c>
      <c r="G29" s="149">
        <v>812565</v>
      </c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108</v>
      </c>
      <c r="C30" s="149">
        <v>920459</v>
      </c>
      <c r="D30" s="149">
        <v>720106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107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102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105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264</v>
      </c>
      <c r="C34" s="214"/>
      <c r="D34" s="149"/>
      <c r="E34" s="149">
        <v>52019578</v>
      </c>
      <c r="F34" s="149">
        <v>46824778</v>
      </c>
      <c r="G34" s="149">
        <v>30542596</v>
      </c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113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142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262</v>
      </c>
      <c r="C37" s="149">
        <v>87275561</v>
      </c>
      <c r="D37" s="149"/>
      <c r="E37" s="149">
        <v>22442764</v>
      </c>
      <c r="F37" s="149">
        <v>20617000</v>
      </c>
      <c r="G37" s="149">
        <v>19835482</v>
      </c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263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17</v>
      </c>
      <c r="C39" s="214"/>
      <c r="D39" s="149"/>
      <c r="E39" s="149">
        <v>5316310</v>
      </c>
      <c r="F39" s="149">
        <v>6964787</v>
      </c>
      <c r="G39" s="149">
        <v>8544578</v>
      </c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18</v>
      </c>
      <c r="C40" s="214"/>
      <c r="D40" s="149"/>
      <c r="E40" s="149">
        <v>32210595</v>
      </c>
      <c r="F40" s="149">
        <v>37670707</v>
      </c>
      <c r="G40" s="149">
        <v>31147279</v>
      </c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133</v>
      </c>
      <c r="C41" s="149">
        <v>121156821</v>
      </c>
      <c r="D41" s="149"/>
      <c r="E41" s="149">
        <v>132313126</v>
      </c>
      <c r="F41" s="149">
        <v>124656340</v>
      </c>
      <c r="G41" s="149">
        <v>115383027</v>
      </c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134</v>
      </c>
      <c r="C42" s="149">
        <v>13900241</v>
      </c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132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194</v>
      </c>
      <c r="C44" s="247">
        <v>1.3499962549695244</v>
      </c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235</v>
      </c>
      <c r="C45" s="151">
        <f>IF(C44="","",C44*Exchange_Rate/Dashboard!$G$3)</f>
        <v>8.8815543090100285E-2</v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233</v>
      </c>
      <c r="C47" s="193" t="s">
        <v>31</v>
      </c>
      <c r="D47" s="193" t="s">
        <v>183</v>
      </c>
      <c r="E47" s="111" t="s">
        <v>33</v>
      </c>
    </row>
    <row r="48" spans="2:13" ht="13.9" x14ac:dyDescent="0.4">
      <c r="B48" s="3" t="s">
        <v>35</v>
      </c>
      <c r="C48" s="59">
        <v>13539631</v>
      </c>
      <c r="D48" s="60">
        <v>0.9</v>
      </c>
      <c r="E48" s="112"/>
    </row>
    <row r="49" spans="2:5" ht="13.9" x14ac:dyDescent="0.4">
      <c r="B49" s="1" t="s">
        <v>131</v>
      </c>
      <c r="C49" s="59">
        <v>305449</v>
      </c>
      <c r="D49" s="60">
        <v>0.8</v>
      </c>
      <c r="E49" s="112"/>
    </row>
    <row r="50" spans="2:5" ht="13.9" x14ac:dyDescent="0.4">
      <c r="B50" s="3" t="s">
        <v>113</v>
      </c>
      <c r="C50" s="59">
        <f>1787467+193156</f>
        <v>1980623</v>
      </c>
      <c r="D50" s="60">
        <f>D51</f>
        <v>0.6</v>
      </c>
      <c r="E50" s="112"/>
    </row>
    <row r="51" spans="2:5" ht="13.9" x14ac:dyDescent="0.4">
      <c r="B51" s="3" t="s">
        <v>39</v>
      </c>
      <c r="C51" s="59"/>
      <c r="D51" s="60">
        <v>0.6</v>
      </c>
      <c r="E51" s="112"/>
    </row>
    <row r="52" spans="2:5" ht="13.9" x14ac:dyDescent="0.4">
      <c r="B52" s="3" t="s">
        <v>41</v>
      </c>
      <c r="C52" s="59"/>
      <c r="D52" s="60">
        <v>0.5</v>
      </c>
      <c r="E52" s="112"/>
    </row>
    <row r="53" spans="2:5" ht="13.9" x14ac:dyDescent="0.4">
      <c r="B53" s="1" t="s">
        <v>151</v>
      </c>
      <c r="C53" s="59">
        <v>5889</v>
      </c>
      <c r="D53" s="60">
        <f>D50</f>
        <v>0.6</v>
      </c>
      <c r="E53" s="112"/>
    </row>
    <row r="54" spans="2:5" ht="13.9" x14ac:dyDescent="0.4">
      <c r="B54" s="3" t="s">
        <v>245</v>
      </c>
      <c r="C54" s="59"/>
      <c r="D54" s="60">
        <v>0.1</v>
      </c>
      <c r="E54" s="112"/>
    </row>
    <row r="55" spans="2:5" ht="13.9" x14ac:dyDescent="0.4">
      <c r="B55" s="3" t="s">
        <v>44</v>
      </c>
      <c r="C55" s="59">
        <v>18623682</v>
      </c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18" t="s">
        <v>43</v>
      </c>
    </row>
    <row r="57" spans="2:5" ht="13.9" x14ac:dyDescent="0.4">
      <c r="B57" s="3" t="s">
        <v>116</v>
      </c>
      <c r="C57" s="59">
        <v>23436237</v>
      </c>
      <c r="D57" s="60">
        <v>0.6</v>
      </c>
      <c r="E57" s="218" t="s">
        <v>43</v>
      </c>
    </row>
    <row r="58" spans="2:5" ht="13.9" x14ac:dyDescent="0.4">
      <c r="B58" s="3" t="s">
        <v>47</v>
      </c>
      <c r="C58" s="59">
        <f>325570+189255</f>
        <v>514825</v>
      </c>
      <c r="D58" s="60">
        <f>D48</f>
        <v>0.9</v>
      </c>
      <c r="E58" s="112"/>
    </row>
    <row r="59" spans="2:5" ht="13.9" x14ac:dyDescent="0.4">
      <c r="B59" s="35" t="s">
        <v>48</v>
      </c>
      <c r="C59" s="119"/>
      <c r="D59" s="194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>
        <f>758168+650701</f>
        <v>1408869</v>
      </c>
      <c r="D61" s="60">
        <f>D51</f>
        <v>0.6</v>
      </c>
      <c r="E61" s="112"/>
    </row>
    <row r="62" spans="2:5" ht="13.9" x14ac:dyDescent="0.4">
      <c r="B62" s="3" t="s">
        <v>62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>
        <v>582318</v>
      </c>
      <c r="D63" s="60">
        <f>D62</f>
        <v>0.5</v>
      </c>
      <c r="E63" s="112"/>
    </row>
    <row r="64" spans="2:5" ht="13.9" x14ac:dyDescent="0.4">
      <c r="B64" s="3" t="s">
        <v>244</v>
      </c>
      <c r="C64" s="59">
        <v>898512</v>
      </c>
      <c r="D64" s="60">
        <v>0.4</v>
      </c>
      <c r="E64" s="112"/>
    </row>
    <row r="65" spans="2:5" ht="13.9" x14ac:dyDescent="0.4">
      <c r="B65" s="3" t="s">
        <v>67</v>
      </c>
      <c r="C65" s="59">
        <v>24823141</v>
      </c>
      <c r="D65" s="60">
        <v>0.1</v>
      </c>
      <c r="E65" s="218" t="s">
        <v>68</v>
      </c>
    </row>
    <row r="66" spans="2:5" ht="13.9" x14ac:dyDescent="0.4">
      <c r="B66" s="3" t="s">
        <v>69</v>
      </c>
      <c r="C66" s="59">
        <v>76964829</v>
      </c>
      <c r="D66" s="60">
        <v>0.3</v>
      </c>
      <c r="E66" s="218" t="s">
        <v>43</v>
      </c>
    </row>
    <row r="67" spans="2:5" ht="13.9" x14ac:dyDescent="0.4">
      <c r="B67" s="1" t="s">
        <v>46</v>
      </c>
      <c r="C67" s="59">
        <v>39222688</v>
      </c>
      <c r="D67" s="60">
        <v>0.2</v>
      </c>
      <c r="E67" s="218" t="s">
        <v>43</v>
      </c>
    </row>
    <row r="68" spans="2:5" ht="13.9" x14ac:dyDescent="0.4">
      <c r="B68" s="3" t="s">
        <v>115</v>
      </c>
      <c r="C68" s="59">
        <f>4323428+1679757</f>
        <v>6003185</v>
      </c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>
        <v>122504</v>
      </c>
      <c r="D70" s="60">
        <v>0.05</v>
      </c>
      <c r="E70" s="112"/>
    </row>
    <row r="71" spans="2:5" ht="13.9" x14ac:dyDescent="0.4">
      <c r="B71" s="3" t="s">
        <v>72</v>
      </c>
      <c r="C71" s="59"/>
      <c r="D71" s="60">
        <f>D58</f>
        <v>0.9</v>
      </c>
      <c r="E71" s="112"/>
    </row>
    <row r="72" spans="2:5" ht="14.25" thickBot="1" x14ac:dyDescent="0.45">
      <c r="B72" s="243" t="s">
        <v>73</v>
      </c>
      <c r="C72" s="244"/>
      <c r="D72" s="245">
        <v>0</v>
      </c>
      <c r="E72" s="246"/>
    </row>
    <row r="73" spans="2:5" ht="13.9" x14ac:dyDescent="0.4">
      <c r="B73" s="3" t="s">
        <v>36</v>
      </c>
      <c r="C73" s="59">
        <v>6636214</v>
      </c>
    </row>
    <row r="74" spans="2:5" ht="13.9" x14ac:dyDescent="0.4">
      <c r="B74" s="3" t="s">
        <v>37</v>
      </c>
      <c r="C74" s="59">
        <v>43646</v>
      </c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19">
        <v>114041</v>
      </c>
    </row>
    <row r="77" spans="2:5" ht="14.25" thickBot="1" x14ac:dyDescent="0.45">
      <c r="B77" s="80" t="s">
        <v>16</v>
      </c>
      <c r="C77" s="83">
        <v>25845852</v>
      </c>
    </row>
    <row r="78" spans="2:5" ht="14.25" thickTop="1" x14ac:dyDescent="0.4">
      <c r="B78" s="3" t="s">
        <v>59</v>
      </c>
      <c r="C78" s="59">
        <f>48494864+2237084</f>
        <v>50731948</v>
      </c>
    </row>
    <row r="79" spans="2:5" ht="13.9" x14ac:dyDescent="0.4">
      <c r="B79" s="3" t="s">
        <v>61</v>
      </c>
      <c r="C79" s="59">
        <v>40529</v>
      </c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19">
        <v>278874</v>
      </c>
    </row>
    <row r="82" spans="2:8" ht="14.25" hidden="1" thickBot="1" x14ac:dyDescent="0.45">
      <c r="B82" s="80" t="s">
        <v>267</v>
      </c>
      <c r="C82" s="214">
        <v>61429709</v>
      </c>
    </row>
    <row r="83" spans="2:8" ht="14.25" hidden="1" thickTop="1" x14ac:dyDescent="0.4">
      <c r="B83" s="73" t="s">
        <v>268</v>
      </c>
      <c r="C83" s="214">
        <v>107256580</v>
      </c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234</v>
      </c>
      <c r="C86" s="196">
        <v>5</v>
      </c>
    </row>
    <row r="87" spans="2:8" ht="13.9" x14ac:dyDescent="0.4">
      <c r="B87" s="10" t="s">
        <v>232</v>
      </c>
      <c r="C87" s="233" t="s">
        <v>272</v>
      </c>
      <c r="D87" s="266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4" t="s">
        <v>98</v>
      </c>
      <c r="D90" s="284"/>
      <c r="E90" s="232" t="s">
        <v>99</v>
      </c>
      <c r="F90" s="252" t="s">
        <v>99</v>
      </c>
    </row>
    <row r="91" spans="2:8" ht="13.9" x14ac:dyDescent="0.4">
      <c r="B91" s="3" t="s">
        <v>122</v>
      </c>
      <c r="C91" s="77">
        <f>C25</f>
        <v>13089628</v>
      </c>
      <c r="D91" s="206"/>
      <c r="E91" s="248">
        <f>C91</f>
        <v>13089628</v>
      </c>
      <c r="F91" s="248">
        <f>C91</f>
        <v>13089628</v>
      </c>
    </row>
    <row r="92" spans="2:8" ht="13.9" x14ac:dyDescent="0.4">
      <c r="B92" s="104" t="s">
        <v>103</v>
      </c>
      <c r="C92" s="77">
        <f>C26</f>
        <v>6368352</v>
      </c>
      <c r="D92" s="158">
        <f>C92/C91</f>
        <v>0.48651894461783024</v>
      </c>
      <c r="E92" s="249">
        <f>E91*D92</f>
        <v>6368352</v>
      </c>
      <c r="F92" s="249">
        <f>F91*D92</f>
        <v>6368352</v>
      </c>
    </row>
    <row r="93" spans="2:8" ht="13.9" x14ac:dyDescent="0.4">
      <c r="B93" s="104" t="s">
        <v>231</v>
      </c>
      <c r="C93" s="77">
        <f>C27+C28</f>
        <v>1783204</v>
      </c>
      <c r="D93" s="158">
        <f>C93/C91</f>
        <v>0.13623030387112606</v>
      </c>
      <c r="E93" s="249">
        <f>E91*D93</f>
        <v>1783204</v>
      </c>
      <c r="F93" s="249">
        <f>F91*D93</f>
        <v>1783204</v>
      </c>
    </row>
    <row r="94" spans="2:8" ht="13.9" x14ac:dyDescent="0.4">
      <c r="B94" s="104" t="s">
        <v>239</v>
      </c>
      <c r="C94" s="77">
        <f>C29</f>
        <v>599686</v>
      </c>
      <c r="D94" s="158">
        <f>C94/C91</f>
        <v>4.581383061459042E-2</v>
      </c>
      <c r="E94" s="250"/>
      <c r="F94" s="249">
        <f>F91*D94</f>
        <v>599686</v>
      </c>
    </row>
    <row r="95" spans="2:8" ht="13.9" x14ac:dyDescent="0.4">
      <c r="B95" s="28" t="s">
        <v>230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107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162</v>
      </c>
      <c r="C97" s="77">
        <f>MAX(C30,0)/(1-C16)</f>
        <v>1227278.6666666667</v>
      </c>
      <c r="D97" s="158">
        <f>C97/C91</f>
        <v>9.375962912518726E-2</v>
      </c>
      <c r="E97" s="250"/>
      <c r="F97" s="249">
        <f>F91*D97</f>
        <v>1227278.6666666667</v>
      </c>
    </row>
    <row r="98" spans="2:7" ht="13.9" x14ac:dyDescent="0.4">
      <c r="B98" s="86" t="s">
        <v>194</v>
      </c>
      <c r="C98" s="234">
        <f>C44</f>
        <v>1.3499962549695244</v>
      </c>
      <c r="D98" s="263"/>
      <c r="E98" s="251">
        <f>F98*50%</f>
        <v>0.67499812748476218</v>
      </c>
      <c r="F98" s="251">
        <f>C98</f>
        <v>1.3499962549695244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0683.HK : 嘉里建設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0683.HK</v>
      </c>
      <c r="D3" s="290"/>
      <c r="E3" s="87"/>
      <c r="F3" s="3" t="s">
        <v>1</v>
      </c>
      <c r="G3" s="131">
        <v>15.2</v>
      </c>
      <c r="H3" s="133" t="s">
        <v>273</v>
      </c>
    </row>
    <row r="4" spans="1:10" ht="15.75" customHeight="1" x14ac:dyDescent="0.4">
      <c r="B4" s="35" t="s">
        <v>182</v>
      </c>
      <c r="C4" s="291" t="str">
        <f>Inputs!C5</f>
        <v>嘉里建設</v>
      </c>
      <c r="D4" s="292"/>
      <c r="E4" s="87"/>
      <c r="F4" s="3" t="s">
        <v>3</v>
      </c>
      <c r="G4" s="295">
        <f>Inputs!C10</f>
        <v>1451305728</v>
      </c>
      <c r="H4" s="295"/>
      <c r="I4" s="39"/>
    </row>
    <row r="5" spans="1:10" ht="15.75" customHeight="1" x14ac:dyDescent="0.4">
      <c r="B5" s="3" t="s">
        <v>156</v>
      </c>
      <c r="C5" s="293">
        <f>Inputs!C6</f>
        <v>45639</v>
      </c>
      <c r="D5" s="294"/>
      <c r="E5" s="34"/>
      <c r="F5" s="35" t="s">
        <v>97</v>
      </c>
      <c r="G5" s="287">
        <f>G3*G4/1000000</f>
        <v>22059.847065599999</v>
      </c>
      <c r="H5" s="287"/>
      <c r="I5" s="38"/>
      <c r="J5" s="28"/>
    </row>
    <row r="6" spans="1:10" ht="15.75" customHeight="1" x14ac:dyDescent="0.4">
      <c r="B6" s="87" t="s">
        <v>4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8" t="str">
        <f>Inputs!C11</f>
        <v>HKD</v>
      </c>
      <c r="H6" s="288"/>
      <c r="I6" s="38"/>
    </row>
    <row r="7" spans="1:10" ht="15.75" customHeight="1" x14ac:dyDescent="0.4">
      <c r="B7" s="86" t="s">
        <v>179</v>
      </c>
      <c r="C7" s="186" t="str">
        <f>Inputs!C8</f>
        <v>N</v>
      </c>
      <c r="D7" s="186" t="str">
        <f>Inputs!C9</f>
        <v>C0005</v>
      </c>
      <c r="E7" s="87"/>
      <c r="F7" s="35" t="s">
        <v>6</v>
      </c>
      <c r="G7" s="132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8" t="s">
        <v>178</v>
      </c>
      <c r="F9" s="142" t="s">
        <v>173</v>
      </c>
    </row>
    <row r="10" spans="1:10" ht="15.75" customHeight="1" x14ac:dyDescent="0.4">
      <c r="B10" s="1" t="s">
        <v>164</v>
      </c>
      <c r="C10" s="171">
        <v>4.2000000000000003E-2</v>
      </c>
      <c r="F10" s="110" t="s">
        <v>171</v>
      </c>
    </row>
    <row r="11" spans="1:10" ht="15.75" customHeight="1" thickBot="1" x14ac:dyDescent="0.45">
      <c r="B11" s="121" t="s">
        <v>168</v>
      </c>
      <c r="C11" s="172">
        <v>5.2299999999999999E-2</v>
      </c>
      <c r="D11" s="136" t="s">
        <v>177</v>
      </c>
      <c r="F11" s="110" t="s">
        <v>166</v>
      </c>
    </row>
    <row r="12" spans="1:10" ht="15.75" customHeight="1" thickTop="1" x14ac:dyDescent="0.4">
      <c r="B12" s="87" t="s">
        <v>236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1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1">
        <v>6.5000000000000002E-2</v>
      </c>
      <c r="F15" s="110" t="s">
        <v>169</v>
      </c>
    </row>
    <row r="16" spans="1:10" ht="15.75" customHeight="1" thickBot="1" x14ac:dyDescent="0.45">
      <c r="B16" s="121" t="s">
        <v>175</v>
      </c>
      <c r="C16" s="172">
        <v>0.16</v>
      </c>
      <c r="D16" s="262" t="str">
        <f>Inputs!C15</f>
        <v>CN</v>
      </c>
      <c r="F16" s="110" t="s">
        <v>167</v>
      </c>
    </row>
    <row r="17" spans="1:8" ht="15.75" customHeight="1" thickTop="1" x14ac:dyDescent="0.4">
      <c r="B17" s="87" t="s">
        <v>237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261</v>
      </c>
      <c r="C19" s="134" t="s">
        <v>49</v>
      </c>
      <c r="D19" s="87"/>
      <c r="E19" s="87"/>
      <c r="F19" s="141" t="s">
        <v>199</v>
      </c>
      <c r="G19" s="87"/>
      <c r="H19" s="87"/>
    </row>
    <row r="20" spans="1:8" ht="15.75" customHeight="1" thickBot="1" x14ac:dyDescent="0.45">
      <c r="B20" s="272" t="s">
        <v>252</v>
      </c>
      <c r="C20" s="273">
        <f>C23*C22*(1/C21)</f>
        <v>3.4597349023559508E-2</v>
      </c>
      <c r="F20" s="87" t="s">
        <v>198</v>
      </c>
      <c r="G20" s="171">
        <v>0.15</v>
      </c>
    </row>
    <row r="21" spans="1:8" ht="15.75" customHeight="1" thickTop="1" x14ac:dyDescent="0.4">
      <c r="B21" s="274" t="s">
        <v>250</v>
      </c>
      <c r="C21" s="275">
        <f>Data!C53</f>
        <v>0.51458693208236717</v>
      </c>
      <c r="F21" s="87"/>
      <c r="G21" s="29"/>
    </row>
    <row r="22" spans="1:8" ht="15.75" customHeight="1" x14ac:dyDescent="0.4">
      <c r="B22" s="276" t="s">
        <v>265</v>
      </c>
      <c r="C22" s="277">
        <f>Data!C48</f>
        <v>6.2800357000190113E-2</v>
      </c>
      <c r="F22" s="141" t="s">
        <v>172</v>
      </c>
    </row>
    <row r="23" spans="1:8" ht="15.75" customHeight="1" thickBot="1" x14ac:dyDescent="0.45">
      <c r="B23" s="278" t="s">
        <v>257</v>
      </c>
      <c r="C23" s="279">
        <f>Data!C13</f>
        <v>0.28349112238585644</v>
      </c>
      <c r="F23" s="139" t="s">
        <v>176</v>
      </c>
      <c r="G23" s="176">
        <f>G3/(Data!C34*Data!C4/Common_Shares*Exchange_Rate)</f>
        <v>0.1820768066009259</v>
      </c>
    </row>
    <row r="24" spans="1:8" ht="15.75" customHeight="1" x14ac:dyDescent="0.4">
      <c r="B24" s="136" t="s">
        <v>258</v>
      </c>
      <c r="C24" s="170">
        <f>Fin_Analysis!I81</f>
        <v>4.581383061459042E-2</v>
      </c>
      <c r="F24" s="139" t="s">
        <v>242</v>
      </c>
      <c r="G24" s="265">
        <f>G3/(Fin_Analysis!H86*G7)</f>
        <v>9.4542316511098612</v>
      </c>
    </row>
    <row r="25" spans="1:8" ht="15.75" customHeight="1" x14ac:dyDescent="0.4">
      <c r="B25" s="136" t="s">
        <v>259</v>
      </c>
      <c r="C25" s="170">
        <f>Fin_Analysis!I80</f>
        <v>0</v>
      </c>
      <c r="F25" s="139" t="s">
        <v>163</v>
      </c>
      <c r="G25" s="170">
        <f>Fin_Analysis!I88</f>
        <v>0.83968271859293786</v>
      </c>
    </row>
    <row r="26" spans="1:8" ht="15.75" customHeight="1" x14ac:dyDescent="0.4">
      <c r="B26" s="137" t="s">
        <v>260</v>
      </c>
      <c r="C26" s="170">
        <f>Fin_Analysis!I80+Fin_Analysis!I82</f>
        <v>0</v>
      </c>
      <c r="F26" s="140" t="s">
        <v>180</v>
      </c>
      <c r="G26" s="177">
        <f>Fin_Analysis!H88*Exchange_Rate/G3</f>
        <v>8.8815543090100285E-2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159</v>
      </c>
      <c r="D28" s="43" t="s">
        <v>160</v>
      </c>
      <c r="E28" s="58"/>
      <c r="F28" s="53" t="s">
        <v>223</v>
      </c>
      <c r="G28" s="285" t="s">
        <v>240</v>
      </c>
      <c r="H28" s="285"/>
    </row>
    <row r="29" spans="1:8" ht="15.75" customHeight="1" x14ac:dyDescent="0.4">
      <c r="B29" s="87" t="s">
        <v>161</v>
      </c>
      <c r="C29" s="129">
        <f>IF(Fin_Analysis!C108="Profit",Fin_Analysis!D100,IF(Fin_Analysis!C108="Dividend",Fin_Analysis!D103,Fin_Analysis!D106))</f>
        <v>6.2947423345414357</v>
      </c>
      <c r="D29" s="128">
        <f>G29*(1+G20)</f>
        <v>23.711942526087903</v>
      </c>
      <c r="E29" s="87"/>
      <c r="F29" s="130">
        <f>IF(Fin_Analysis!C108="Profit",Fin_Analysis!F100,IF(Fin_Analysis!C108="Dividend",Fin_Analysis!F103,Fin_Analysis!F106))</f>
        <v>10.899108408896128</v>
      </c>
      <c r="G29" s="286">
        <f>IF(Fin_Analysis!C108="Profit",Fin_Analysis!I100,IF(Fin_Analysis!C108="Dividend",Fin_Analysis!I103,Fin_Analysis!I106))</f>
        <v>20.619080457467742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5" t="s">
        <v>209</v>
      </c>
      <c r="C32" s="221"/>
    </row>
    <row r="33" spans="1:3" ht="15.75" customHeight="1" x14ac:dyDescent="0.4">
      <c r="A33"/>
      <c r="B33" s="20" t="s">
        <v>210</v>
      </c>
      <c r="C33" s="242" t="str">
        <f>Inputs!C17</f>
        <v>unclear</v>
      </c>
    </row>
    <row r="34" spans="1:3" ht="15.75" customHeight="1" x14ac:dyDescent="0.4">
      <c r="A34"/>
      <c r="B34" s="19" t="s">
        <v>211</v>
      </c>
      <c r="C34" s="222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5" t="s">
        <v>212</v>
      </c>
      <c r="C35" s="221"/>
    </row>
    <row r="36" spans="1:3" ht="15.75" customHeight="1" x14ac:dyDescent="0.4">
      <c r="A36"/>
      <c r="B36" s="20" t="s">
        <v>224</v>
      </c>
      <c r="C36" s="242" t="str">
        <f>Inputs!C18</f>
        <v>unclear</v>
      </c>
    </row>
    <row r="37" spans="1:3" ht="15.75" customHeight="1" x14ac:dyDescent="0.4">
      <c r="A37"/>
      <c r="B37" s="20" t="s">
        <v>225</v>
      </c>
      <c r="C37" s="242" t="str">
        <f>Inputs!C19</f>
        <v>unclear</v>
      </c>
    </row>
    <row r="38" spans="1:3" ht="15.75" customHeight="1" x14ac:dyDescent="0.4">
      <c r="A38"/>
      <c r="B38" s="195" t="s">
        <v>213</v>
      </c>
      <c r="C38" s="221"/>
    </row>
    <row r="39" spans="1:3" ht="15.75" customHeight="1" x14ac:dyDescent="0.4">
      <c r="A39"/>
      <c r="B39" s="19" t="s">
        <v>214</v>
      </c>
      <c r="C39" s="242" t="str">
        <f>Inputs!C20</f>
        <v>unclear</v>
      </c>
    </row>
    <row r="40" spans="1:3" ht="15.75" customHeight="1" x14ac:dyDescent="0.4">
      <c r="A40"/>
      <c r="B40" s="1" t="s">
        <v>217</v>
      </c>
      <c r="C40" s="242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3" t="s">
        <v>216</v>
      </c>
      <c r="C43" s="241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7" t="s">
        <v>186</v>
      </c>
      <c r="F2" s="118" t="s">
        <v>189</v>
      </c>
      <c r="G2" s="147" t="s">
        <v>190</v>
      </c>
      <c r="H2" s="146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0">
        <f>Inputs!C12</f>
        <v>45291</v>
      </c>
      <c r="E3" s="145" t="s">
        <v>187</v>
      </c>
      <c r="F3" s="85" t="str">
        <f>H14</f>
        <v/>
      </c>
      <c r="G3" s="85">
        <f>C14</f>
        <v>3710793.333333333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7">
        <f>Inputs!C13</f>
        <v>1000</v>
      </c>
      <c r="D4" s="1" t="str">
        <f>Dashboard!G6</f>
        <v>HKD</v>
      </c>
      <c r="E4" s="145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199">
        <f>IF(Inputs!C25=""," ",Inputs!C25)</f>
        <v>13089628</v>
      </c>
      <c r="D6" s="199">
        <f>IF(Inputs!D25="","",Inputs!D25)</f>
        <v>14590475</v>
      </c>
      <c r="E6" s="199">
        <f>IF(Inputs!E25="","",Inputs!E25)</f>
        <v>15326764</v>
      </c>
      <c r="F6" s="199">
        <f>IF(Inputs!F25="","",Inputs!F25)</f>
        <v>14526102</v>
      </c>
      <c r="G6" s="199">
        <f>IF(Inputs!G25="","",Inputs!G25)</f>
        <v>18025422</v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-0.10286484847134858</v>
      </c>
      <c r="D7" s="92">
        <f t="shared" si="1"/>
        <v>-4.8039429588659366E-2</v>
      </c>
      <c r="E7" s="92">
        <f t="shared" si="1"/>
        <v>5.511884743753015E-2</v>
      </c>
      <c r="F7" s="92">
        <f t="shared" si="1"/>
        <v>-0.19413248688435703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8">
        <f>IF(Inputs!C26="","",Inputs!C26)</f>
        <v>6368352</v>
      </c>
      <c r="D8" s="198">
        <f>IF(Inputs!D26="","",Inputs!D26)</f>
        <v>7605791</v>
      </c>
      <c r="E8" s="198">
        <f>IF(Inputs!E26="","",Inputs!E26)</f>
        <v>6583757</v>
      </c>
      <c r="F8" s="198">
        <f>IF(Inputs!F26="","",Inputs!F26)</f>
        <v>6139239</v>
      </c>
      <c r="G8" s="198">
        <f>IF(Inputs!G26="","",Inputs!G26)</f>
        <v>9041440</v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0">
        <f t="shared" ref="C9:M9" si="2">IF(C6="","",(C6-C8))</f>
        <v>6721276</v>
      </c>
      <c r="D9" s="150">
        <f t="shared" si="2"/>
        <v>6984684</v>
      </c>
      <c r="E9" s="150">
        <f t="shared" si="2"/>
        <v>8743007</v>
      </c>
      <c r="F9" s="150">
        <f t="shared" si="2"/>
        <v>8386863</v>
      </c>
      <c r="G9" s="150">
        <f t="shared" si="2"/>
        <v>8983982</v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8">
        <f>IF(Inputs!C27="","",Inputs!C27)</f>
        <v>1783204</v>
      </c>
      <c r="D10" s="198">
        <f>IF(Inputs!D27="","",Inputs!D27)</f>
        <v>1720023</v>
      </c>
      <c r="E10" s="198">
        <f>IF(Inputs!E27="","",Inputs!E27)</f>
        <v>2003343</v>
      </c>
      <c r="F10" s="198">
        <f>IF(Inputs!F27="","",Inputs!F27)</f>
        <v>1613699</v>
      </c>
      <c r="G10" s="198">
        <f>IF(Inputs!G27="","",Inputs!G27)</f>
        <v>1602120</v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8">
        <f>IF(Inputs!C30="","",MAX(Inputs!C30,0)/(1-Fin_Analysis!$I$84))</f>
        <v>1227278.6666666667</v>
      </c>
      <c r="D12" s="198">
        <f>IF(Inputs!D30="","",MAX(Inputs!D30,0)/(1-Fin_Analysis!$I$84))</f>
        <v>960141.33333333337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227</v>
      </c>
      <c r="C13" s="226">
        <f t="shared" ref="C13:M13" si="3">IF(C14="","",C14/C6)</f>
        <v>0.28349112238585644</v>
      </c>
      <c r="D13" s="226">
        <f t="shared" si="3"/>
        <v>0.29502258608213011</v>
      </c>
      <c r="E13" s="226">
        <f t="shared" si="3"/>
        <v>0.4397317007034231</v>
      </c>
      <c r="F13" s="226">
        <f t="shared" si="3"/>
        <v>0.46627539858938066</v>
      </c>
      <c r="G13" s="226">
        <f t="shared" si="3"/>
        <v>0.40952505855341415</v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219</v>
      </c>
      <c r="C14" s="227">
        <f>IF(C6="","",C9-C10-MAX(C11,0)-MAX(C12,0))</f>
        <v>3710793.333333333</v>
      </c>
      <c r="D14" s="227">
        <f t="shared" ref="D14:M14" si="4">IF(D6="","",D9-D10-MAX(D11,0)-MAX(D12,0))</f>
        <v>4304519.666666667</v>
      </c>
      <c r="E14" s="227">
        <f t="shared" si="4"/>
        <v>6739664</v>
      </c>
      <c r="F14" s="227">
        <f t="shared" si="4"/>
        <v>6773164</v>
      </c>
      <c r="G14" s="227">
        <f t="shared" si="4"/>
        <v>7381862</v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228</v>
      </c>
      <c r="C15" s="229">
        <f>IF(D14="","",IF(ABS(C14+D14)=ABS(C14)+ABS(D14),IF(C14&lt;0,-1,1)*(C14-D14)/D14,"Turn"))</f>
        <v>-0.1379309143203668</v>
      </c>
      <c r="D15" s="229">
        <f t="shared" ref="D15:M15" si="5">IF(E14="","",IF(ABS(D14+E14)=ABS(D14)+ABS(E14),IF(D14&lt;0,-1,1)*(D14-E14)/E14,"Turn"))</f>
        <v>-0.36131539099476367</v>
      </c>
      <c r="E15" s="229">
        <f t="shared" si="5"/>
        <v>-4.9459897914770701E-3</v>
      </c>
      <c r="F15" s="229">
        <f t="shared" si="5"/>
        <v>-8.2458599198955498E-2</v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8">
        <f>IF(Inputs!C29="","",Inputs!C29)</f>
        <v>599686</v>
      </c>
      <c r="D17" s="198">
        <f>IF(Inputs!D29="","",Inputs!D29)</f>
        <v>317225</v>
      </c>
      <c r="E17" s="198">
        <f>IF(Inputs!E29="","",Inputs!E29)</f>
        <v>562656</v>
      </c>
      <c r="F17" s="198">
        <f>IF(Inputs!F29="","",Inputs!F29)</f>
        <v>781715</v>
      </c>
      <c r="G17" s="198">
        <f>IF(Inputs!G29="","",Inputs!G29)</f>
        <v>812565</v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1">
        <f t="shared" ref="C20:M20" si="7">IF(C6="","",MAX(C21,0)/C6)</f>
        <v>0</v>
      </c>
      <c r="D20" s="151">
        <f t="shared" si="7"/>
        <v>0</v>
      </c>
      <c r="E20" s="151">
        <f t="shared" si="7"/>
        <v>0</v>
      </c>
      <c r="F20" s="151">
        <f t="shared" si="7"/>
        <v>0</v>
      </c>
      <c r="G20" s="151">
        <f t="shared" si="7"/>
        <v>0</v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0">
        <f>IF(C6="","",C14-MAX(C16,0)-MAX(C17,0)-ABS(MAX(C21,0)-MAX(C19,0)))</f>
        <v>3111107.333333333</v>
      </c>
      <c r="D22" s="160">
        <f t="shared" ref="D22:M22" si="8">IF(D6="","",D14-MAX(D16,0)-MAX(D17,0)-ABS(MAX(D21,0)-MAX(D19,0)))</f>
        <v>3987294.666666667</v>
      </c>
      <c r="E22" s="160">
        <f t="shared" si="8"/>
        <v>6177008</v>
      </c>
      <c r="F22" s="160">
        <f t="shared" si="8"/>
        <v>5991449</v>
      </c>
      <c r="G22" s="160">
        <f t="shared" si="8"/>
        <v>6569297</v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2">
        <f t="shared" ref="C23:M23" si="9">IF(C6="","",C24/C6)</f>
        <v>0.17825796882844952</v>
      </c>
      <c r="D23" s="152">
        <f t="shared" si="9"/>
        <v>0.20496049648829115</v>
      </c>
      <c r="E23" s="152">
        <f t="shared" si="9"/>
        <v>0.30226576203561301</v>
      </c>
      <c r="F23" s="152">
        <f t="shared" si="9"/>
        <v>0.30934566960909404</v>
      </c>
      <c r="G23" s="152">
        <f t="shared" si="9"/>
        <v>0.27333466866961559</v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3">
        <f>IF(C6="","",C22*(1-Fin_Analysis!$I$84))</f>
        <v>2333330.5</v>
      </c>
      <c r="D24" s="77">
        <f>IF(D6="","",D22*(1-Fin_Analysis!$I$84))</f>
        <v>2990471</v>
      </c>
      <c r="E24" s="77">
        <f>IF(E6="","",E22*(1-Fin_Analysis!$I$84))</f>
        <v>4632756</v>
      </c>
      <c r="F24" s="77">
        <f>IF(F6="","",F22*(1-Fin_Analysis!$I$84))</f>
        <v>4493586.75</v>
      </c>
      <c r="G24" s="77">
        <f>IF(G6="","",G22*(1-Fin_Analysis!$I$84))</f>
        <v>4926972.75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124</v>
      </c>
      <c r="C25" s="230">
        <f>IF(D24="","",IF(ABS(C24+D24)=ABS(C24)+ABS(D24),IF(C24&lt;0,-1,1)*(C24-D24)/D24,"Turn"))</f>
        <v>-0.21974481611759486</v>
      </c>
      <c r="D25" s="230">
        <f t="shared" ref="D25:M25" si="10">IF(E24="","",IF(ABS(D24+E24)=ABS(D24)+ABS(E24),IF(D24&lt;0,-1,1)*(D24-E24)/E24,"Turn"))</f>
        <v>-0.35449417150396006</v>
      </c>
      <c r="E25" s="230">
        <f t="shared" si="10"/>
        <v>3.0970638321381021E-2</v>
      </c>
      <c r="F25" s="230">
        <f t="shared" si="10"/>
        <v>-8.7961923475221165E-2</v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IF(C34="","",C34+C30)</f>
        <v>208432382</v>
      </c>
      <c r="D27" s="65" t="str">
        <f>IF(D34="","",D34+D30)</f>
        <v/>
      </c>
      <c r="E27" s="65">
        <f t="shared" ref="E27:M27" si="20">IF(E34="","",E34+E30)</f>
        <v>154755890</v>
      </c>
      <c r="F27" s="65">
        <f t="shared" si="20"/>
        <v>145273340</v>
      </c>
      <c r="G27" s="65">
        <f t="shared" si="20"/>
        <v>135218509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113</v>
      </c>
      <c r="C28" s="65">
        <f>Fin_Analysis!C13</f>
        <v>1980623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142</v>
      </c>
      <c r="C29" s="65">
        <f>Fin_Analysis!C18</f>
        <v>18623682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262</v>
      </c>
      <c r="C30" s="65">
        <f>Inputs!C37</f>
        <v>87275561</v>
      </c>
      <c r="D30" s="198" t="str">
        <f>IF(Inputs!D37="","",Inputs!D37)</f>
        <v/>
      </c>
      <c r="E30" s="198">
        <f>IF(Inputs!E37="","",Inputs!E37)</f>
        <v>22442764</v>
      </c>
      <c r="F30" s="198">
        <f>IF(Inputs!F37="","",Inputs!F37)</f>
        <v>20617000</v>
      </c>
      <c r="G30" s="198">
        <f>IF(Inputs!G37="","",Inputs!G37)</f>
        <v>19835482</v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17</v>
      </c>
      <c r="C31" s="65">
        <f>Fin_Analysis!I15</f>
        <v>6793901</v>
      </c>
      <c r="D31" s="198" t="str">
        <f>IF(Inputs!D39="","",Inputs!D39)</f>
        <v/>
      </c>
      <c r="E31" s="198">
        <f>IF(Inputs!E39="","",Inputs!E39)</f>
        <v>5316310</v>
      </c>
      <c r="F31" s="198">
        <f>IF(Inputs!F39="","",Inputs!F39)</f>
        <v>6964787</v>
      </c>
      <c r="G31" s="198">
        <f>IF(Inputs!G39="","",Inputs!G39)</f>
        <v>8544578</v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18</v>
      </c>
      <c r="C32" s="65">
        <f>Fin_Analysis!I34</f>
        <v>51051351</v>
      </c>
      <c r="D32" s="198" t="str">
        <f>IF(Inputs!D40="","",Inputs!D40)</f>
        <v/>
      </c>
      <c r="E32" s="198">
        <f>IF(Inputs!E40="","",Inputs!E40)</f>
        <v>32210595</v>
      </c>
      <c r="F32" s="198">
        <f>IF(Inputs!F40="","",Inputs!F40)</f>
        <v>37670707</v>
      </c>
      <c r="G32" s="198">
        <f>IF(Inputs!G40="","",Inputs!G40)</f>
        <v>31147279</v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19</v>
      </c>
      <c r="C33" s="77">
        <f t="shared" ref="C33" si="21">IF(OR(C31="",C32=""),"",C31+C32)</f>
        <v>57845252</v>
      </c>
      <c r="D33" s="77" t="str">
        <f t="shared" ref="D33" si="22">IF(OR(D31="",D32=""),"",D31+D32)</f>
        <v/>
      </c>
      <c r="E33" s="77">
        <f t="shared" ref="E33" si="23">IF(OR(E31="",E32=""),"",E31+E32)</f>
        <v>37526905</v>
      </c>
      <c r="F33" s="77">
        <f t="shared" ref="F33" si="24">IF(OR(F31="",F32=""),"",F31+F32)</f>
        <v>44635494</v>
      </c>
      <c r="G33" s="77">
        <f t="shared" ref="G33" si="25">IF(OR(G31="",G32=""),"",G31+G32)</f>
        <v>39691857</v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133</v>
      </c>
      <c r="C34" s="65">
        <f>Inputs!C41</f>
        <v>121156821</v>
      </c>
      <c r="D34" s="198" t="str">
        <f>IF(Inputs!D41="","",Inputs!D41)</f>
        <v/>
      </c>
      <c r="E34" s="198">
        <f>IF(Inputs!E41="","",Inputs!E41)</f>
        <v>132313126</v>
      </c>
      <c r="F34" s="198">
        <f>IF(Inputs!F41="","",Inputs!F41)</f>
        <v>124656340</v>
      </c>
      <c r="G34" s="198">
        <f>IF(Inputs!G41="","",Inputs!G41)</f>
        <v>115383027</v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134</v>
      </c>
      <c r="C35" s="65">
        <f>Inputs!C42</f>
        <v>13900241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132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136</v>
      </c>
      <c r="C37" s="65">
        <f>Fin_Analysis!C68</f>
        <v>168660741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150</v>
      </c>
      <c r="C38" s="154">
        <f>IF(C6="","",C14/MAX(C37,0))</f>
        <v>2.2001523954725974E-2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247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95</v>
      </c>
      <c r="C40" s="155">
        <f t="shared" ref="C40:M40" si="34">IF(C6="","",C8/C6)</f>
        <v>0.48651894461783024</v>
      </c>
      <c r="D40" s="155">
        <f t="shared" si="34"/>
        <v>0.52128467373406284</v>
      </c>
      <c r="E40" s="155">
        <f t="shared" si="34"/>
        <v>0.42955949475049005</v>
      </c>
      <c r="F40" s="155">
        <f t="shared" si="34"/>
        <v>0.42263499182368403</v>
      </c>
      <c r="G40" s="155">
        <f t="shared" si="34"/>
        <v>0.50159380457223135</v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2">
        <f t="shared" ref="C41:M41" si="35">IF(C6="","",(C10+MAX(C11,0))/C6)</f>
        <v>0.13623030387112606</v>
      </c>
      <c r="D41" s="152">
        <f t="shared" si="35"/>
        <v>0.11788670348292293</v>
      </c>
      <c r="E41" s="152">
        <f t="shared" si="35"/>
        <v>0.13070880454608683</v>
      </c>
      <c r="F41" s="152">
        <f t="shared" si="35"/>
        <v>0.1110896095869353</v>
      </c>
      <c r="G41" s="152">
        <f t="shared" si="35"/>
        <v>8.8881136874354449E-2</v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106</v>
      </c>
      <c r="C42" s="152">
        <f t="shared" ref="C42:M42" si="36">IF(C6="","",MAX(C16,0)/C6)</f>
        <v>0</v>
      </c>
      <c r="D42" s="152">
        <f t="shared" si="36"/>
        <v>0</v>
      </c>
      <c r="E42" s="152">
        <f t="shared" si="36"/>
        <v>0</v>
      </c>
      <c r="F42" s="152">
        <f t="shared" si="36"/>
        <v>0</v>
      </c>
      <c r="G42" s="152">
        <f t="shared" si="36"/>
        <v>0</v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118</v>
      </c>
      <c r="C43" s="152">
        <f t="shared" ref="C43:M43" si="37">IF(C6="","",MAX(C17,0)/C6)</f>
        <v>4.581383061459042E-2</v>
      </c>
      <c r="D43" s="152">
        <f t="shared" si="37"/>
        <v>2.1741924097741849E-2</v>
      </c>
      <c r="E43" s="152">
        <f t="shared" si="37"/>
        <v>3.6710684655939116E-2</v>
      </c>
      <c r="F43" s="152">
        <f t="shared" si="37"/>
        <v>5.3814505777255314E-2</v>
      </c>
      <c r="G43" s="152">
        <f t="shared" si="37"/>
        <v>4.5078833660593357E-2</v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125</v>
      </c>
      <c r="C44" s="152">
        <f t="shared" ref="C44:M44" si="38">IF(C6="","",MAX(C12,0)/C6)</f>
        <v>9.375962912518726E-2</v>
      </c>
      <c r="D44" s="152">
        <f t="shared" si="38"/>
        <v>6.5806036700884196E-2</v>
      </c>
      <c r="E44" s="152">
        <f t="shared" si="38"/>
        <v>0</v>
      </c>
      <c r="F44" s="152">
        <f t="shared" si="38"/>
        <v>0</v>
      </c>
      <c r="G44" s="152">
        <f t="shared" si="38"/>
        <v>0</v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2">
        <f t="shared" ref="C45:M45" si="39">IF(C6="","",ABS(MAX(C21,0)-MAX(C19,0))/C6)</f>
        <v>0</v>
      </c>
      <c r="D45" s="152">
        <f t="shared" si="39"/>
        <v>0</v>
      </c>
      <c r="E45" s="152">
        <f t="shared" si="39"/>
        <v>0</v>
      </c>
      <c r="F45" s="152">
        <f t="shared" si="39"/>
        <v>0</v>
      </c>
      <c r="G45" s="152">
        <f t="shared" si="39"/>
        <v>0</v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120</v>
      </c>
      <c r="C46" s="152">
        <f t="shared" ref="C46:M46" si="40">IF(C6="","",C22/C6)</f>
        <v>0.23767729177126601</v>
      </c>
      <c r="D46" s="152">
        <f t="shared" si="40"/>
        <v>0.27328066198438822</v>
      </c>
      <c r="E46" s="152">
        <f t="shared" si="40"/>
        <v>0.40302101604748397</v>
      </c>
      <c r="F46" s="152">
        <f t="shared" si="40"/>
        <v>0.41246089281212539</v>
      </c>
      <c r="G46" s="152">
        <f t="shared" si="40"/>
        <v>0.3644462248928208</v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248</v>
      </c>
      <c r="C47" s="280" t="s">
        <v>266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254</v>
      </c>
      <c r="C48" s="269">
        <f t="shared" ref="C48:M48" si="41">IF(C6="","",C6/C27)</f>
        <v>6.2800357000190113E-2</v>
      </c>
      <c r="D48" s="269" t="e">
        <f t="shared" si="41"/>
        <v>#VALUE!</v>
      </c>
      <c r="E48" s="269">
        <f t="shared" si="41"/>
        <v>9.9038324163300023E-2</v>
      </c>
      <c r="F48" s="269">
        <f t="shared" si="41"/>
        <v>9.9991519435018147E-2</v>
      </c>
      <c r="G48" s="269">
        <f t="shared" si="41"/>
        <v>0.13330587752598277</v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255</v>
      </c>
      <c r="C49" s="152">
        <f t="shared" ref="C49:M49" si="42">IF(C28="","",C28/C6)</f>
        <v>0.15131239787715892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256</v>
      </c>
      <c r="C50" s="152">
        <f t="shared" ref="C50:M50" si="43">IF(C29="","",C29/C6)</f>
        <v>1.4227816099892221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246</v>
      </c>
      <c r="C51" s="152" t="e">
        <f t="shared" ref="C51:M51" si="44">IF(D6="","",C16/(C6-D6))</f>
        <v>#VALUE!</v>
      </c>
      <c r="D51" s="152" t="e">
        <f t="shared" si="44"/>
        <v>#VALUE!</v>
      </c>
      <c r="E51" s="152" t="e">
        <f t="shared" si="44"/>
        <v>#VALUE!</v>
      </c>
      <c r="F51" s="152" t="e">
        <f t="shared" si="44"/>
        <v>#VALUE!</v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249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250</v>
      </c>
      <c r="C53" s="155">
        <f t="shared" ref="C53:M53" si="45">IF(C34="","",(C34-C35)/C27)</f>
        <v>0.51458693208236717</v>
      </c>
      <c r="D53" s="155" t="str">
        <f t="shared" si="45"/>
        <v/>
      </c>
      <c r="E53" s="155" t="e">
        <f t="shared" si="45"/>
        <v>#VALUE!</v>
      </c>
      <c r="F53" s="155" t="e">
        <f t="shared" si="45"/>
        <v>#VALUE!</v>
      </c>
      <c r="G53" s="155" t="e">
        <f t="shared" si="45"/>
        <v>#VALUE!</v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117</v>
      </c>
      <c r="C54" s="156">
        <f t="shared" ref="C54:M54" si="46">IF(OR(C22="",C33=""),"",IF(C33&lt;=0,"-",C22/C33))</f>
        <v>5.3783279107044654E-2</v>
      </c>
      <c r="D54" s="156" t="str">
        <f t="shared" si="46"/>
        <v/>
      </c>
      <c r="E54" s="156">
        <f t="shared" si="46"/>
        <v>0.16460211680126566</v>
      </c>
      <c r="F54" s="156">
        <f t="shared" si="46"/>
        <v>0.13423059684295194</v>
      </c>
      <c r="G54" s="156">
        <f t="shared" si="46"/>
        <v>0.16550742385270611</v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119</v>
      </c>
      <c r="C55" s="152">
        <f t="shared" ref="C55:M55" si="47">IF(C22="","",IF(MAX(C17,0)&lt;=0,"-",C17/C22))</f>
        <v>0.19275644834711586</v>
      </c>
      <c r="D55" s="152">
        <f t="shared" si="47"/>
        <v>7.9558955763155692E-2</v>
      </c>
      <c r="E55" s="152">
        <f t="shared" si="47"/>
        <v>9.108876012464287E-2</v>
      </c>
      <c r="F55" s="152">
        <f t="shared" si="47"/>
        <v>0.1304717773613695</v>
      </c>
      <c r="G55" s="152">
        <f t="shared" si="47"/>
        <v>0.12369131735100422</v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20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251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252</v>
      </c>
      <c r="C58" s="271">
        <f t="shared" ref="C58:M58" si="49">IF(C14="","",C14/(C34-C35))</f>
        <v>3.4597349023559515E-2</v>
      </c>
      <c r="D58" s="271" t="e">
        <f t="shared" si="49"/>
        <v>#VALUE!</v>
      </c>
      <c r="E58" s="271" t="e">
        <f t="shared" si="49"/>
        <v>#VALUE!</v>
      </c>
      <c r="F58" s="271" t="e">
        <f t="shared" si="49"/>
        <v>#VALUE!</v>
      </c>
      <c r="G58" s="271" t="e">
        <f t="shared" si="49"/>
        <v>#VALUE!</v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253</v>
      </c>
      <c r="C59" s="271">
        <f t="shared" ref="C59:M59" si="50">IF(C22="","",C22/(C34-C35))</f>
        <v>2.900621419528138E-2</v>
      </c>
      <c r="D59" s="271" t="e">
        <f t="shared" si="50"/>
        <v>#VALUE!</v>
      </c>
      <c r="E59" s="271" t="e">
        <f t="shared" si="50"/>
        <v>#VALUE!</v>
      </c>
      <c r="F59" s="271" t="e">
        <f t="shared" si="50"/>
        <v>#VALUE!</v>
      </c>
      <c r="G59" s="271" t="e">
        <f t="shared" si="50"/>
        <v>#VALUE!</v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204">
        <f>Inputs!C41</f>
        <v>121156821</v>
      </c>
      <c r="E3" s="67" t="str">
        <f>IF((C49-I49)=D3,"", "Error!")</f>
        <v/>
      </c>
      <c r="F3" s="87"/>
      <c r="G3" s="87"/>
      <c r="H3" s="47" t="s">
        <v>23</v>
      </c>
      <c r="I3" s="282">
        <f>D3-D4</f>
        <v>107256580</v>
      </c>
      <c r="K3" s="24"/>
    </row>
    <row r="4" spans="1:11" ht="15" customHeight="1" x14ac:dyDescent="0.4">
      <c r="B4" s="3" t="s">
        <v>24</v>
      </c>
      <c r="C4" s="87"/>
      <c r="D4" s="198">
        <f>Inputs!C42</f>
        <v>13900241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>
        <f>C28/I28</f>
        <v>2.2597953435622862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-28198312.699999988</v>
      </c>
      <c r="E6" s="56">
        <f>1-D6/D3</f>
        <v>1.2327422630212457</v>
      </c>
      <c r="F6" s="87"/>
      <c r="G6" s="87"/>
      <c r="H6" s="1" t="s">
        <v>27</v>
      </c>
      <c r="I6" s="63">
        <f>(C24+C25)/I28</f>
        <v>0.61253898691364483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28</v>
      </c>
      <c r="I7" s="63">
        <f>C24/I28</f>
        <v>0.61231113603838638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183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13539631</v>
      </c>
      <c r="D11" s="197">
        <f>Inputs!D48</f>
        <v>0.9</v>
      </c>
      <c r="E11" s="88">
        <f t="shared" ref="E11:E22" si="0">C11*D11</f>
        <v>12185667.9</v>
      </c>
      <c r="F11" s="112"/>
      <c r="G11" s="87"/>
      <c r="H11" s="3" t="s">
        <v>36</v>
      </c>
      <c r="I11" s="40">
        <f>Inputs!C73</f>
        <v>6636214</v>
      </c>
      <c r="J11" s="87"/>
      <c r="K11" s="24"/>
    </row>
    <row r="12" spans="1:11" ht="13.9" x14ac:dyDescent="0.4">
      <c r="B12" s="1" t="s">
        <v>131</v>
      </c>
      <c r="C12" s="40">
        <f>Inputs!C49</f>
        <v>305449</v>
      </c>
      <c r="D12" s="197">
        <f>Inputs!D49</f>
        <v>0.8</v>
      </c>
      <c r="E12" s="88">
        <f t="shared" si="0"/>
        <v>244359.2</v>
      </c>
      <c r="F12" s="112"/>
      <c r="G12" s="87"/>
      <c r="H12" s="3" t="s">
        <v>37</v>
      </c>
      <c r="I12" s="40">
        <f>Inputs!C74</f>
        <v>43646</v>
      </c>
      <c r="J12" s="87"/>
      <c r="K12" s="24"/>
    </row>
    <row r="13" spans="1:11" ht="13.9" x14ac:dyDescent="0.4">
      <c r="B13" s="3" t="s">
        <v>113</v>
      </c>
      <c r="C13" s="40">
        <f>Inputs!C50</f>
        <v>1980623</v>
      </c>
      <c r="D13" s="197">
        <f>Inputs!D50</f>
        <v>0.6</v>
      </c>
      <c r="E13" s="88">
        <f t="shared" si="0"/>
        <v>1188373.8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40</v>
      </c>
      <c r="I14" s="203">
        <f>Inputs!C76</f>
        <v>114041</v>
      </c>
      <c r="J14" s="87"/>
      <c r="K14" s="27"/>
    </row>
    <row r="15" spans="1:11" ht="13.9" x14ac:dyDescent="0.4">
      <c r="B15" s="3" t="s">
        <v>41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51</v>
      </c>
      <c r="I15" s="84">
        <f>SUM(I11:I14)</f>
        <v>6793901</v>
      </c>
      <c r="J15" s="87"/>
    </row>
    <row r="16" spans="1:11" ht="13.9" x14ac:dyDescent="0.4">
      <c r="B16" s="1" t="s">
        <v>151</v>
      </c>
      <c r="C16" s="40">
        <f>Inputs!C53</f>
        <v>5889</v>
      </c>
      <c r="D16" s="197">
        <f>Inputs!D53</f>
        <v>0.6</v>
      </c>
      <c r="E16" s="88">
        <f t="shared" si="0"/>
        <v>3533.4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18623682</v>
      </c>
      <c r="D18" s="197">
        <f>Inputs!D55</f>
        <v>0.5</v>
      </c>
      <c r="E18" s="88">
        <f t="shared" si="0"/>
        <v>9311841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Y</v>
      </c>
      <c r="G19" s="30">
        <f>IF(F19="Y",0,1)</f>
        <v>0</v>
      </c>
    </row>
    <row r="20" spans="2:10" ht="13.9" x14ac:dyDescent="0.4">
      <c r="B20" s="3" t="s">
        <v>116</v>
      </c>
      <c r="C20" s="40">
        <f>Inputs!C57</f>
        <v>23436237</v>
      </c>
      <c r="D20" s="197">
        <f>Inputs!D57</f>
        <v>0.6</v>
      </c>
      <c r="E20" s="88">
        <f t="shared" si="0"/>
        <v>14061742.199999999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514825</v>
      </c>
      <c r="D21" s="197">
        <f>Inputs!D58</f>
        <v>0.9</v>
      </c>
      <c r="E21" s="88">
        <f t="shared" si="0"/>
        <v>463342.5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19051951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15825703</v>
      </c>
      <c r="D24" s="62">
        <f>IF(E24=0,0,E24/C24)</f>
        <v>0.86052423074033424</v>
      </c>
      <c r="E24" s="88">
        <f>SUM(E11:E14)</f>
        <v>13618400.9</v>
      </c>
      <c r="F24" s="113">
        <f>E24/$E$28</f>
        <v>0.36355620272480266</v>
      </c>
      <c r="G24" s="87"/>
    </row>
    <row r="25" spans="2:10" ht="15" customHeight="1" x14ac:dyDescent="0.4">
      <c r="B25" s="23" t="s">
        <v>52</v>
      </c>
      <c r="C25" s="61">
        <f>SUM(C15:C17)</f>
        <v>5889</v>
      </c>
      <c r="D25" s="62">
        <f>IF(E25=0,0,E25/C25)</f>
        <v>0.6</v>
      </c>
      <c r="E25" s="88">
        <f>SUM(E15:E17)</f>
        <v>3533.4</v>
      </c>
      <c r="F25" s="113">
        <f>E25/$E$28</f>
        <v>9.4327483537940028E-5</v>
      </c>
      <c r="G25" s="87"/>
      <c r="H25" s="23" t="s">
        <v>53</v>
      </c>
      <c r="I25" s="63">
        <f>E28/I28</f>
        <v>1.4493180569168314</v>
      </c>
    </row>
    <row r="26" spans="2:10" ht="15" customHeight="1" x14ac:dyDescent="0.4">
      <c r="B26" s="23" t="s">
        <v>54</v>
      </c>
      <c r="C26" s="61">
        <f>C18+C19+C20</f>
        <v>42059919</v>
      </c>
      <c r="D26" s="62">
        <f>IF(E26=0,0,E26/C26)</f>
        <v>0.55572107021889416</v>
      </c>
      <c r="E26" s="88">
        <f>E18+E19+E20</f>
        <v>23373583.199999999</v>
      </c>
      <c r="F26" s="113">
        <f>E26/$E$28</f>
        <v>0.62398009976811897</v>
      </c>
      <c r="G26" s="87"/>
      <c r="H26" s="23" t="s">
        <v>55</v>
      </c>
      <c r="I26" s="63">
        <f>E24/($I$28-I22)</f>
        <v>2.0045038778162945</v>
      </c>
      <c r="J26" s="8" t="str">
        <f>IF(I26&lt;1,"Liquidity Problem!","")</f>
        <v/>
      </c>
    </row>
    <row r="27" spans="2:10" ht="15" customHeight="1" x14ac:dyDescent="0.4">
      <c r="B27" s="23" t="s">
        <v>56</v>
      </c>
      <c r="C27" s="77">
        <f>C21+C22</f>
        <v>514825</v>
      </c>
      <c r="D27" s="62">
        <f>IF(E27=0,0,E27/C27)</f>
        <v>0.9</v>
      </c>
      <c r="E27" s="88">
        <f>E21+E22</f>
        <v>463342.5</v>
      </c>
      <c r="F27" s="113">
        <f>E27/$E$28</f>
        <v>1.2369370023540492E-2</v>
      </c>
      <c r="G27" s="87"/>
      <c r="H27" s="23" t="s">
        <v>57</v>
      </c>
      <c r="I27" s="63">
        <f>(E25+E24)/$I$28</f>
        <v>0.52704527983832772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58406336</v>
      </c>
      <c r="D28" s="57">
        <f>E28/C28</f>
        <v>0.64134925361522421</v>
      </c>
      <c r="E28" s="70">
        <f>SUM(E24:E27)</f>
        <v>37458860</v>
      </c>
      <c r="F28" s="112"/>
      <c r="G28" s="87"/>
      <c r="H28" s="78" t="s">
        <v>16</v>
      </c>
      <c r="I28" s="204">
        <f>Inputs!C77</f>
        <v>25845852</v>
      </c>
      <c r="J28" s="32">
        <f>IF(J26="",1,0)+IF(J27="",1,0)+IF(J46="",1,0)+IF(J47="",1,0)</f>
        <v>1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50731948</v>
      </c>
      <c r="J30" s="87"/>
    </row>
    <row r="31" spans="2:10" ht="15" customHeight="1" x14ac:dyDescent="0.4">
      <c r="B31" s="3" t="s">
        <v>60</v>
      </c>
      <c r="C31" s="40">
        <f>Inputs!C61</f>
        <v>1408869</v>
      </c>
      <c r="D31" s="197">
        <f>Inputs!D61</f>
        <v>0.6</v>
      </c>
      <c r="E31" s="88">
        <f t="shared" ref="E31:E42" si="1">C31*D31</f>
        <v>845321.4</v>
      </c>
      <c r="F31" s="112"/>
      <c r="G31" s="87"/>
      <c r="H31" s="3" t="s">
        <v>61</v>
      </c>
      <c r="I31" s="40">
        <f>Inputs!C79</f>
        <v>40529</v>
      </c>
      <c r="J31" s="87"/>
    </row>
    <row r="32" spans="2:10" ht="15" customHeight="1" x14ac:dyDescent="0.4">
      <c r="B32" s="3" t="s">
        <v>62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582318</v>
      </c>
      <c r="D33" s="197">
        <f>Inputs!D63</f>
        <v>0.5</v>
      </c>
      <c r="E33" s="88">
        <f t="shared" si="1"/>
        <v>291159</v>
      </c>
      <c r="F33" s="112"/>
      <c r="G33" s="30">
        <f>IF(F33="Y",0,1)</f>
        <v>1</v>
      </c>
      <c r="H33" s="86" t="s">
        <v>64</v>
      </c>
      <c r="I33" s="203">
        <f>Inputs!C81</f>
        <v>278874</v>
      </c>
      <c r="J33" s="87"/>
    </row>
    <row r="34" spans="2:10" ht="13.9" x14ac:dyDescent="0.4">
      <c r="B34" s="3" t="s">
        <v>65</v>
      </c>
      <c r="C34" s="40">
        <f>Inputs!C64</f>
        <v>898512</v>
      </c>
      <c r="D34" s="197">
        <f>Inputs!D64</f>
        <v>0.4</v>
      </c>
      <c r="E34" s="88">
        <f t="shared" si="1"/>
        <v>359404.80000000005</v>
      </c>
      <c r="F34" s="112"/>
      <c r="G34" s="87"/>
      <c r="H34" s="1" t="s">
        <v>75</v>
      </c>
      <c r="I34" s="84">
        <f>SUM(I30:I33)</f>
        <v>51051351</v>
      </c>
      <c r="J34" s="87"/>
    </row>
    <row r="35" spans="2:10" ht="13.9" x14ac:dyDescent="0.4">
      <c r="B35" s="3" t="s">
        <v>67</v>
      </c>
      <c r="C35" s="40">
        <f>Inputs!C65</f>
        <v>24823141</v>
      </c>
      <c r="D35" s="197">
        <f>Inputs!D65</f>
        <v>0.1</v>
      </c>
      <c r="E35" s="88">
        <f t="shared" si="1"/>
        <v>2482314.1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76964829</v>
      </c>
      <c r="D36" s="197">
        <f>Inputs!D66</f>
        <v>0.3</v>
      </c>
      <c r="E36" s="88">
        <f t="shared" si="1"/>
        <v>23089448.699999999</v>
      </c>
      <c r="F36" s="133" t="str">
        <f>Inputs!E66</f>
        <v>Y</v>
      </c>
      <c r="G36" s="30">
        <f>IF(F36="Y",0,1)</f>
        <v>0</v>
      </c>
      <c r="H36" s="87"/>
      <c r="I36" s="87"/>
    </row>
    <row r="37" spans="2:10" ht="13.9" x14ac:dyDescent="0.4">
      <c r="B37" s="1" t="s">
        <v>46</v>
      </c>
      <c r="C37" s="40">
        <f>Inputs!C67</f>
        <v>39222688</v>
      </c>
      <c r="D37" s="197">
        <f>Inputs!D67</f>
        <v>0.2</v>
      </c>
      <c r="E37" s="88">
        <f t="shared" si="1"/>
        <v>7844537.6000000006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6003185</v>
      </c>
      <c r="D38" s="197">
        <f>Inputs!D68</f>
        <v>0.1</v>
      </c>
      <c r="E38" s="88">
        <f t="shared" si="1"/>
        <v>600318.5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122504</v>
      </c>
      <c r="D40" s="197">
        <f>Inputs!D70</f>
        <v>0.05</v>
      </c>
      <c r="E40" s="88">
        <f t="shared" si="1"/>
        <v>6125.2000000000007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10378358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1408869</v>
      </c>
      <c r="D44" s="62">
        <f>IF(E44=0,0,E44/C44)</f>
        <v>0.6</v>
      </c>
      <c r="E44" s="88">
        <f>SUM(E30:E31)</f>
        <v>845321.4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26303971</v>
      </c>
      <c r="D45" s="62">
        <f>IF(E45=0,0,E45/C45)</f>
        <v>0.11910284952792871</v>
      </c>
      <c r="E45" s="88">
        <f>SUM(E32:E35)</f>
        <v>3132877.9000000004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122190702</v>
      </c>
      <c r="D46" s="62">
        <f>IF(E46=0,0,E46/C46)</f>
        <v>0.25807450390128706</v>
      </c>
      <c r="E46" s="88">
        <f>E36+E37+E38+E39</f>
        <v>31534304.800000001</v>
      </c>
      <c r="F46" s="87"/>
      <c r="G46" s="87"/>
      <c r="H46" s="23" t="s">
        <v>78</v>
      </c>
      <c r="I46" s="63">
        <f>(E44+E24)/E64</f>
        <v>0.25004165078233215</v>
      </c>
      <c r="J46" s="8" t="str">
        <f>IF(I46&lt;1,"Liquidity Problem!","")</f>
        <v>Liquidity Problem!</v>
      </c>
    </row>
    <row r="47" spans="2:10" ht="15" customHeight="1" x14ac:dyDescent="0.4">
      <c r="B47" s="23" t="s">
        <v>79</v>
      </c>
      <c r="C47" s="61">
        <f>C40+C41+C42</f>
        <v>122504</v>
      </c>
      <c r="D47" s="62">
        <f>IF(E47=0,0,E47/C47)</f>
        <v>0.05</v>
      </c>
      <c r="E47" s="88">
        <f>E40+E41+E42</f>
        <v>6125.2000000000007</v>
      </c>
      <c r="F47" s="87"/>
      <c r="G47" s="87"/>
      <c r="H47" s="23" t="s">
        <v>80</v>
      </c>
      <c r="I47" s="63">
        <f>(E44+E45+E24+E25)/$I$49</f>
        <v>0.2016616495882507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81</v>
      </c>
      <c r="C48" s="81">
        <f>SUM(C30:C42)</f>
        <v>150026046</v>
      </c>
      <c r="D48" s="82">
        <f>E48/C48</f>
        <v>0.23674975277292853</v>
      </c>
      <c r="E48" s="76">
        <f>SUM(E30:E42)</f>
        <v>35518629.300000004</v>
      </c>
      <c r="F48" s="87"/>
      <c r="G48" s="87"/>
      <c r="H48" s="80" t="s">
        <v>82</v>
      </c>
      <c r="I48" s="281">
        <f>I49-I28</f>
        <v>61429709</v>
      </c>
      <c r="J48" s="8"/>
    </row>
    <row r="49" spans="2:11" ht="15" customHeight="1" thickTop="1" x14ac:dyDescent="0.4">
      <c r="B49" s="3" t="s">
        <v>14</v>
      </c>
      <c r="C49" s="61">
        <f>C28+C48</f>
        <v>208432382</v>
      </c>
      <c r="D49" s="56">
        <f>E49/C49</f>
        <v>0.3501254872191597</v>
      </c>
      <c r="E49" s="88">
        <f>E28+E48</f>
        <v>72977489.300000012</v>
      </c>
      <c r="F49" s="87"/>
      <c r="G49" s="87"/>
      <c r="H49" s="3" t="s">
        <v>83</v>
      </c>
      <c r="I49" s="40">
        <f>Inputs!C37</f>
        <v>87275561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13900241</v>
      </c>
      <c r="D53" s="29">
        <f>IF(E53=0, 0,E53/C53)</f>
        <v>1</v>
      </c>
      <c r="E53" s="88">
        <f>IF(C53=0,0,MAX(C53,C53*Dashboard!G23))</f>
        <v>13900241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96">
        <f>I15+I34</f>
        <v>57845252</v>
      </c>
      <c r="E56" s="294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95">
        <f>Inputs!C84</f>
        <v>0</v>
      </c>
      <c r="E57" s="294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26232010</v>
      </c>
      <c r="D61" s="56">
        <f t="shared" ref="D61:D70" si="2">IF(E61=0,0,E61/C61)</f>
        <v>0.12685400394403631</v>
      </c>
      <c r="E61" s="52">
        <f>E14+E15+(E19*G19)+(E20*G20)+E31+E32+(E35*G35)+(E36*G36)+(E37*G37)</f>
        <v>3327635.5</v>
      </c>
      <c r="F61" s="87"/>
      <c r="G61" s="87"/>
      <c r="I61" s="87"/>
      <c r="K61" s="33"/>
    </row>
    <row r="62" spans="2:11" ht="13.9" x14ac:dyDescent="0.4">
      <c r="B62" s="35" t="s">
        <v>135</v>
      </c>
      <c r="C62" s="116">
        <f>C11+C30</f>
        <v>13539631</v>
      </c>
      <c r="D62" s="107">
        <f t="shared" si="2"/>
        <v>0.9</v>
      </c>
      <c r="E62" s="117">
        <f>E11+E30</f>
        <v>12185667.9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39771641</v>
      </c>
      <c r="D63" s="29">
        <f t="shared" si="2"/>
        <v>0.39005942450300202</v>
      </c>
      <c r="E63" s="61">
        <f>E61+E62</f>
        <v>15513303.4</v>
      </c>
      <c r="F63" s="87"/>
      <c r="G63" s="87"/>
      <c r="I63" s="87"/>
      <c r="K63" s="33"/>
    </row>
    <row r="64" spans="2:11" ht="14.25" thickBot="1" x14ac:dyDescent="0.45">
      <c r="B64" s="120" t="s">
        <v>144</v>
      </c>
      <c r="C64" s="205"/>
      <c r="D64" s="205"/>
      <c r="E64" s="69">
        <f>D56+D57+D58</f>
        <v>57845252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-18073611</v>
      </c>
      <c r="D65" s="29">
        <f t="shared" si="2"/>
        <v>2.3421965095962287</v>
      </c>
      <c r="E65" s="61">
        <f>E63-E64</f>
        <v>-42331948.600000001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168660741</v>
      </c>
      <c r="D68" s="29">
        <f t="shared" si="2"/>
        <v>0.34070872426678128</v>
      </c>
      <c r="E68" s="68">
        <f>E49-E63</f>
        <v>57464185.900000013</v>
      </c>
      <c r="F68" s="87"/>
      <c r="G68" s="87"/>
      <c r="I68" s="87"/>
      <c r="K68" s="33"/>
    </row>
    <row r="69" spans="1:11" ht="14.25" thickBot="1" x14ac:dyDescent="0.45">
      <c r="B69" s="120" t="s">
        <v>145</v>
      </c>
      <c r="C69" s="205"/>
      <c r="D69" s="205"/>
      <c r="E69" s="125">
        <f>I49-E64</f>
        <v>29430309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139230432</v>
      </c>
      <c r="D70" s="29">
        <f t="shared" si="2"/>
        <v>0.20134877481382815</v>
      </c>
      <c r="E70" s="68">
        <f>E68-E69</f>
        <v>28033876.900000013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4" t="s">
        <v>98</v>
      </c>
      <c r="D73" s="284"/>
      <c r="E73" s="298" t="s">
        <v>99</v>
      </c>
      <c r="F73" s="284"/>
      <c r="H73" s="298" t="s">
        <v>99</v>
      </c>
      <c r="I73" s="284"/>
      <c r="K73" s="24"/>
    </row>
    <row r="74" spans="1:11" ht="15" customHeight="1" x14ac:dyDescent="0.4">
      <c r="B74" s="3" t="s">
        <v>122</v>
      </c>
      <c r="C74" s="77">
        <f>Data!C6</f>
        <v>13089628</v>
      </c>
      <c r="D74" s="206"/>
      <c r="E74" s="235">
        <f>Inputs!E91</f>
        <v>13089628</v>
      </c>
      <c r="F74" s="206"/>
      <c r="H74" s="235">
        <f>Inputs!F91</f>
        <v>13089628</v>
      </c>
      <c r="I74" s="206"/>
      <c r="K74" s="24"/>
    </row>
    <row r="75" spans="1:11" ht="15" customHeight="1" x14ac:dyDescent="0.4">
      <c r="B75" s="104" t="s">
        <v>103</v>
      </c>
      <c r="C75" s="77">
        <f>Data!C8</f>
        <v>6368352</v>
      </c>
      <c r="D75" s="158">
        <f>C75/$C$74</f>
        <v>0.48651894461783024</v>
      </c>
      <c r="E75" s="235">
        <f>Inputs!E92</f>
        <v>6368352</v>
      </c>
      <c r="F75" s="159">
        <f>E75/E74</f>
        <v>0.48651894461783024</v>
      </c>
      <c r="H75" s="235">
        <f>Inputs!F92</f>
        <v>6368352</v>
      </c>
      <c r="I75" s="159">
        <f>H75/$H$74</f>
        <v>0.48651894461783024</v>
      </c>
      <c r="K75" s="24"/>
    </row>
    <row r="76" spans="1:11" ht="15" customHeight="1" x14ac:dyDescent="0.4">
      <c r="B76" s="35" t="s">
        <v>93</v>
      </c>
      <c r="C76" s="160">
        <f>C74-C75</f>
        <v>6721276</v>
      </c>
      <c r="D76" s="207"/>
      <c r="E76" s="161">
        <f>E74-E75</f>
        <v>6721276</v>
      </c>
      <c r="F76" s="207"/>
      <c r="H76" s="161">
        <f>H74-H75</f>
        <v>6721276</v>
      </c>
      <c r="I76" s="207"/>
      <c r="K76" s="24"/>
    </row>
    <row r="77" spans="1:11" ht="15" customHeight="1" x14ac:dyDescent="0.4">
      <c r="B77" s="104" t="s">
        <v>231</v>
      </c>
      <c r="C77" s="77">
        <f>Data!C10+MAX(Data!C11,0)</f>
        <v>1783204</v>
      </c>
      <c r="D77" s="158">
        <f>C77/$C$74</f>
        <v>0.13623030387112606</v>
      </c>
      <c r="E77" s="235">
        <f>Inputs!E93</f>
        <v>1783204</v>
      </c>
      <c r="F77" s="159">
        <f>E77/E74</f>
        <v>0.13623030387112606</v>
      </c>
      <c r="H77" s="235">
        <f>Inputs!F93</f>
        <v>1783204</v>
      </c>
      <c r="I77" s="159">
        <f>H77/$H$74</f>
        <v>0.13623030387112606</v>
      </c>
      <c r="K77" s="24"/>
    </row>
    <row r="78" spans="1:11" ht="15" customHeight="1" x14ac:dyDescent="0.4">
      <c r="B78" s="73" t="s">
        <v>162</v>
      </c>
      <c r="C78" s="77">
        <f>MAX(Data!C12,0)</f>
        <v>1227278.6666666667</v>
      </c>
      <c r="D78" s="158">
        <f>C78/$C$74</f>
        <v>9.375962912518726E-2</v>
      </c>
      <c r="E78" s="179">
        <f>E74*F78</f>
        <v>1227278.6666666667</v>
      </c>
      <c r="F78" s="159">
        <f>I78</f>
        <v>9.375962912518726E-2</v>
      </c>
      <c r="H78" s="235">
        <f>Inputs!F97</f>
        <v>1227278.6666666667</v>
      </c>
      <c r="I78" s="159">
        <f>H78/$H$74</f>
        <v>9.375962912518726E-2</v>
      </c>
      <c r="K78" s="24"/>
    </row>
    <row r="79" spans="1:11" ht="15" customHeight="1" x14ac:dyDescent="0.4">
      <c r="B79" s="253" t="s">
        <v>218</v>
      </c>
      <c r="C79" s="254">
        <f>C76-C77-C78</f>
        <v>3710793.333333333</v>
      </c>
      <c r="D79" s="255">
        <f>C79/C74</f>
        <v>0.28349112238585644</v>
      </c>
      <c r="E79" s="256">
        <f>E76-E77-E78</f>
        <v>3710793.333333333</v>
      </c>
      <c r="F79" s="255">
        <f>E79/E74</f>
        <v>0.28349112238585644</v>
      </c>
      <c r="G79" s="257"/>
      <c r="H79" s="256">
        <f>H76-H77-H78</f>
        <v>3710793.333333333</v>
      </c>
      <c r="I79" s="255">
        <f>H79/H74</f>
        <v>0.28349112238585644</v>
      </c>
      <c r="K79" s="24"/>
    </row>
    <row r="80" spans="1:11" ht="15" customHeight="1" x14ac:dyDescent="0.4">
      <c r="B80" s="28" t="s">
        <v>107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127</v>
      </c>
    </row>
    <row r="81" spans="1:11" ht="15" customHeight="1" x14ac:dyDescent="0.4">
      <c r="B81" s="104" t="s">
        <v>239</v>
      </c>
      <c r="C81" s="77">
        <f>MAX(Data!C17,0)</f>
        <v>599686</v>
      </c>
      <c r="D81" s="158">
        <f>C81/$C$74</f>
        <v>4.581383061459042E-2</v>
      </c>
      <c r="E81" s="179">
        <f>E74*F81</f>
        <v>599686</v>
      </c>
      <c r="F81" s="159">
        <f>I81</f>
        <v>4.581383061459042E-2</v>
      </c>
      <c r="H81" s="235">
        <f>Inputs!F94</f>
        <v>599686</v>
      </c>
      <c r="I81" s="159">
        <f>H81/$H$74</f>
        <v>4.581383061459042E-2</v>
      </c>
      <c r="K81" s="24"/>
    </row>
    <row r="82" spans="1:11" ht="15" customHeight="1" x14ac:dyDescent="0.4">
      <c r="B82" s="28" t="s">
        <v>230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121</v>
      </c>
      <c r="C83" s="162">
        <f>C79-C81-C82-C80</f>
        <v>3111107.333333333</v>
      </c>
      <c r="D83" s="163">
        <f>C83/$C$74</f>
        <v>0.23767729177126601</v>
      </c>
      <c r="E83" s="164">
        <f>E79-E81-E82-E80</f>
        <v>3111107.333333333</v>
      </c>
      <c r="F83" s="163">
        <f>E83/E74</f>
        <v>0.23767729177126601</v>
      </c>
      <c r="H83" s="164">
        <f>H79-H81-H82-H80</f>
        <v>3111107.333333333</v>
      </c>
      <c r="I83" s="163">
        <f>H83/$H$74</f>
        <v>0.23767729177126601</v>
      </c>
      <c r="K83" s="24"/>
    </row>
    <row r="84" spans="1:11" ht="15" customHeight="1" thickTop="1" x14ac:dyDescent="0.4">
      <c r="B84" s="28" t="s">
        <v>94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157</v>
      </c>
      <c r="C85" s="254">
        <f>C83*(1-I84)</f>
        <v>2333330.5</v>
      </c>
      <c r="D85" s="255">
        <f>C85/$C$74</f>
        <v>0.17825796882844952</v>
      </c>
      <c r="E85" s="261">
        <f>E83*(1-F84)</f>
        <v>2333330.5</v>
      </c>
      <c r="F85" s="255">
        <f>E85/E74</f>
        <v>0.17825796882844952</v>
      </c>
      <c r="G85" s="257"/>
      <c r="H85" s="261">
        <f>H83*(1-I84)</f>
        <v>2333330.5</v>
      </c>
      <c r="I85" s="255">
        <f>H85/$H$74</f>
        <v>0.17825796882844952</v>
      </c>
      <c r="K85" s="24"/>
    </row>
    <row r="86" spans="1:11" ht="15" customHeight="1" x14ac:dyDescent="0.4">
      <c r="B86" s="87" t="s">
        <v>153</v>
      </c>
      <c r="C86" s="166">
        <f>C85*Data!C4/Common_Shares</f>
        <v>1.6077456699736805</v>
      </c>
      <c r="D86" s="206"/>
      <c r="E86" s="167">
        <f>E85*Data!C4/Common_Shares</f>
        <v>1.6077456699736805</v>
      </c>
      <c r="F86" s="206"/>
      <c r="H86" s="167">
        <f>H85*Data!C4/Common_Shares</f>
        <v>1.6077456699736805</v>
      </c>
      <c r="I86" s="206"/>
      <c r="K86" s="24"/>
    </row>
    <row r="87" spans="1:11" ht="15" customHeight="1" x14ac:dyDescent="0.4">
      <c r="B87" s="87" t="s">
        <v>195</v>
      </c>
      <c r="C87" s="258">
        <f>C86*Exchange_Rate/Dashboard!G3</f>
        <v>0.10577274144563688</v>
      </c>
      <c r="D87" s="206"/>
      <c r="E87" s="259">
        <f>E86*Exchange_Rate/Dashboard!G3</f>
        <v>0.10577274144563688</v>
      </c>
      <c r="F87" s="206"/>
      <c r="H87" s="259">
        <f>H86*Exchange_Rate/Dashboard!G3</f>
        <v>0.10577274144563688</v>
      </c>
      <c r="I87" s="206"/>
      <c r="K87" s="24"/>
    </row>
    <row r="88" spans="1:11" ht="15" customHeight="1" x14ac:dyDescent="0.4">
      <c r="B88" s="86" t="s">
        <v>194</v>
      </c>
      <c r="C88" s="168">
        <f>Inputs!C44</f>
        <v>1.3499962549695244</v>
      </c>
      <c r="D88" s="165">
        <f>C88/C86</f>
        <v>0.83968271859293786</v>
      </c>
      <c r="E88" s="169">
        <f>Inputs!E98</f>
        <v>0.67499812748476218</v>
      </c>
      <c r="F88" s="165">
        <f>E88/E86</f>
        <v>0.41984135929646893</v>
      </c>
      <c r="H88" s="169">
        <f>Inputs!F98</f>
        <v>1.3499962549695244</v>
      </c>
      <c r="I88" s="165">
        <f>H88/H86</f>
        <v>0.83968271859293786</v>
      </c>
      <c r="K88" s="24"/>
    </row>
    <row r="89" spans="1:11" ht="15" customHeight="1" x14ac:dyDescent="0.4">
      <c r="B89" s="87" t="s">
        <v>207</v>
      </c>
      <c r="C89" s="258">
        <f>C88*Exchange_Rate/Dashboard!G3</f>
        <v>8.8815543090100285E-2</v>
      </c>
      <c r="D89" s="206"/>
      <c r="E89" s="258">
        <f>E88*Exchange_Rate/Dashboard!G3</f>
        <v>4.4407771545050143E-2</v>
      </c>
      <c r="F89" s="206"/>
      <c r="H89" s="258">
        <f>H88*Exchange_Rate/Dashboard!G3</f>
        <v>8.8815543090100285E-2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7" t="str">
        <f>Inputs!C15</f>
        <v>CN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196</v>
      </c>
      <c r="F93" s="143">
        <f>FV(E87,D93,0,-(E86/(C93-D94)))*Exchange_Rate</f>
        <v>40.119994554801117</v>
      </c>
      <c r="H93" s="87" t="s">
        <v>196</v>
      </c>
      <c r="I93" s="143">
        <f>FV(H87,D93,0,-(H86/(C93-D94)))*Exchange_Rate</f>
        <v>40.119994554801117</v>
      </c>
      <c r="K93" s="24"/>
    </row>
    <row r="94" spans="1:11" ht="15" customHeight="1" x14ac:dyDescent="0.4">
      <c r="B94" s="1" t="s">
        <v>198</v>
      </c>
      <c r="C94" s="181">
        <f>Dashboard!G20</f>
        <v>0.15</v>
      </c>
      <c r="D94" s="267">
        <f>Inputs!D87</f>
        <v>0.02</v>
      </c>
      <c r="E94" s="87" t="s">
        <v>197</v>
      </c>
      <c r="F94" s="143">
        <f>FV(E89,D93,0,-(E88/(C93-D94)))*Exchange_Rate</f>
        <v>12.660975238040443</v>
      </c>
      <c r="H94" s="87" t="s">
        <v>197</v>
      </c>
      <c r="I94" s="143">
        <f>FV(H89,D93,0,-(H88/(C93-D94)))*Exchange_Rate</f>
        <v>31.183024833109375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200</v>
      </c>
      <c r="E96" s="182" t="str">
        <f>E72</f>
        <v>Pessimistic Case</v>
      </c>
      <c r="F96" s="224" t="s">
        <v>223</v>
      </c>
      <c r="H96" s="182" t="str">
        <f>H72</f>
        <v>Base Case</v>
      </c>
      <c r="I96" s="123" t="s">
        <v>112</v>
      </c>
      <c r="K96" s="24"/>
    </row>
    <row r="97" spans="2:11" ht="15" customHeight="1" x14ac:dyDescent="0.4">
      <c r="B97" s="1" t="s">
        <v>126</v>
      </c>
      <c r="C97" s="91">
        <f>H97*Common_Shares/Data!C4</f>
        <v>28948800.474909026</v>
      </c>
      <c r="D97" s="210"/>
      <c r="E97" s="122">
        <f>PV(C94,D93,0,-F93)</f>
        <v>19.946727912941185</v>
      </c>
      <c r="F97" s="210"/>
      <c r="H97" s="122">
        <f>PV(C94,D93,0,-I93)</f>
        <v>19.946727912941185</v>
      </c>
      <c r="I97" s="122">
        <f>PV(C93,D93,0,-I93)</f>
        <v>26.528452582966601</v>
      </c>
      <c r="K97" s="24"/>
    </row>
    <row r="98" spans="2:11" ht="15" customHeight="1" x14ac:dyDescent="0.4">
      <c r="B98" s="28" t="s">
        <v>140</v>
      </c>
      <c r="C98" s="91">
        <f>-E53*Exchange_Rate</f>
        <v>-13900241</v>
      </c>
      <c r="D98" s="210"/>
      <c r="E98" s="210"/>
      <c r="F98" s="210"/>
      <c r="H98" s="122">
        <f>C98*Data!$C$4/Common_Shares</f>
        <v>-9.5777483212689418</v>
      </c>
      <c r="I98" s="212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-42331948.600000001</v>
      </c>
      <c r="D99" s="211"/>
      <c r="E99" s="144">
        <f>IF(H99&gt;0,H99*(1-C94),H99*(1+C94))</f>
        <v>-33.543408498143812</v>
      </c>
      <c r="F99" s="211"/>
      <c r="H99" s="144">
        <f>C99*Data!$C$4/Common_Shares</f>
        <v>-29.168181302733753</v>
      </c>
      <c r="I99" s="213"/>
      <c r="K99" s="24"/>
    </row>
    <row r="100" spans="2:11" ht="15" customHeight="1" thickTop="1" x14ac:dyDescent="0.4">
      <c r="B100" s="1" t="s">
        <v>112</v>
      </c>
      <c r="C100" s="91">
        <f>C97+C98+$C$99</f>
        <v>-27283389.125090975</v>
      </c>
      <c r="D100" s="109">
        <f>MIN(F100*(1-C94),E100)</f>
        <v>0</v>
      </c>
      <c r="E100" s="109">
        <f>MAX(E97+H98+E99,0)</f>
        <v>0</v>
      </c>
      <c r="F100" s="109">
        <f>(E100+H100)/2</f>
        <v>0</v>
      </c>
      <c r="H100" s="109">
        <f>MAX(C100*Data!$C$4/Common_Shares,0)</f>
        <v>0</v>
      </c>
      <c r="I100" s="109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6" t="str">
        <f>C96</f>
        <v>HKD</v>
      </c>
      <c r="D102" s="123" t="s">
        <v>200</v>
      </c>
      <c r="E102" s="182" t="str">
        <f>E96</f>
        <v>Pessimistic Case</v>
      </c>
      <c r="F102" s="224" t="s">
        <v>223</v>
      </c>
      <c r="H102" s="182" t="str">
        <f>H96</f>
        <v>Base Case</v>
      </c>
      <c r="I102" s="123" t="s">
        <v>112</v>
      </c>
      <c r="K102" s="24"/>
    </row>
    <row r="103" spans="2:11" ht="15" customHeight="1" x14ac:dyDescent="0.4">
      <c r="B103" s="1" t="s">
        <v>154</v>
      </c>
      <c r="C103" s="91">
        <f>H103*Common_Shares/Data!C4</f>
        <v>22500281.321443755</v>
      </c>
      <c r="D103" s="109">
        <f>MIN(F103*(1-C94),E103)</f>
        <v>6.2947423345414357</v>
      </c>
      <c r="E103" s="122">
        <f>PV(C94,D93,0,-F94)</f>
        <v>6.2947423345414357</v>
      </c>
      <c r="F103" s="109">
        <f>(E103+H103)/2</f>
        <v>10.899108408896128</v>
      </c>
      <c r="H103" s="122">
        <f>PV(C94,D93,0,-I94)</f>
        <v>15.50347448325082</v>
      </c>
      <c r="I103" s="109">
        <f>PV(C93,D93,0,-I94)</f>
        <v>20.619080457467742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6" t="str">
        <f>C102</f>
        <v>HKD</v>
      </c>
      <c r="D105" s="123" t="s">
        <v>200</v>
      </c>
      <c r="E105" s="183" t="str">
        <f>E96</f>
        <v>Pessimistic Case</v>
      </c>
      <c r="F105" s="224" t="s">
        <v>223</v>
      </c>
      <c r="H105" s="183" t="str">
        <f>H96</f>
        <v>Base Case</v>
      </c>
      <c r="I105" s="123" t="s">
        <v>112</v>
      </c>
      <c r="K105" s="24"/>
    </row>
    <row r="106" spans="2:11" ht="15" customHeight="1" x14ac:dyDescent="0.4">
      <c r="B106" s="1" t="s">
        <v>185</v>
      </c>
      <c r="C106" s="91">
        <f>E106*Common_Shares/Data!C4</f>
        <v>4567797.8032020386</v>
      </c>
      <c r="D106" s="109">
        <f>(D100+D103)/2</f>
        <v>3.1473711672707179</v>
      </c>
      <c r="E106" s="122">
        <f>(E100+E103)/2</f>
        <v>3.1473711672707179</v>
      </c>
      <c r="F106" s="109">
        <f>(F100+F103)/2</f>
        <v>5.4495542044480638</v>
      </c>
      <c r="H106" s="122">
        <f>(H100+H103)/2</f>
        <v>7.7517372416254098</v>
      </c>
      <c r="I106" s="122">
        <f>(I100+I103)/2</f>
        <v>10.309540228733871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7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2024-12-17T03:34:55Z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