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1F42487-3CB3-4114-AE24-57586D06C00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7" i="4"/>
  <c r="F95" i="4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D53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<sst xmlns="http://schemas.openxmlformats.org/spreadsheetml/2006/main" count="392" uniqueCount="277">
  <si>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</si>
  <si>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</si>
  <si>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</si>
  <si>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</si>
  <si>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</si>
  <si>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</si>
  <si>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</si>
  <si>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</si>
  <si>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</si>
  <si>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</si>
  <si>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</si>
  <si>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</si>
  <si>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</si>
  <si>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</si>
  <si>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</si>
  <si>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</si>
  <si>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</si>
  <si>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</si>
  <si>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</si>
  <si>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</si>
  <si>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</si>
  <si>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</si>
  <si>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</si>
  <si>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</si>
  <si>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</si>
  <si>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</si>
  <si>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</si>
  <si>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</si>
  <si>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</si>
  <si>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</si>
  <si>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</si>
  <si>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</si>
  <si>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</si>
  <si>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</si>
  <si>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</si>
  <si>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</si>
  <si>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</si>
  <si>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</si>
  <si>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</si>
  <si>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</si>
  <si>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</si>
  <si>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</si>
  <si>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</si>
  <si>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</si>
  <si>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</si>
  <si>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</si>
  <si>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</si>
  <si>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</si>
  <si>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</si>
  <si>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</si>
  <si>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</si>
  <si>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</si>
  <si>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</si>
  <si>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</si>
  <si>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</si>
  <si>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</si>
  <si>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</si>
  <si>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</si>
  <si>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</si>
  <si>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</si>
  <si>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</si>
  <si>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</si>
  <si>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</si>
  <si>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</si>
  <si>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</si>
  <si>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</si>
  <si>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</si>
  <si>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</si>
  <si>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</si>
  <si>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</si>
  <si>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</si>
  <si>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</si>
  <si>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</si>
  <si>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</si>
  <si>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</si>
  <si>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</si>
  <si>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</si>
  <si>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</si>
  <si>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</si>
  <si>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</si>
  <si>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</si>
  <si>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</si>
  <si>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</si>
  <si>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</si>
  <si>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</si>
  <si>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</si>
  <si>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</si>
  <si>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</si>
  <si>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</si>
  <si>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</si>
  <si>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</si>
  <si>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</si>
  <si>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</si>
  <si>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</si>
  <si>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</si>
  <si>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</si>
  <si>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</si>
  <si>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</si>
  <si>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</si>
  <si>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</si>
  <si>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</si>
  <si>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</si>
  <si>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</si>
  <si>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</si>
  <si>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</si>
  <si>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</si>
  <si>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</si>
  <si>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</si>
  <si>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</si>
  <si>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</si>
  <si>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</si>
  <si>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</si>
  <si>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</si>
  <si>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</si>
  <si>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</si>
  <si>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</si>
  <si>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</si>
  <si>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</si>
  <si>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</si>
  <si>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</si>
  <si>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</si>
  <si>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</si>
  <si>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</si>
  <si>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</si>
  <si>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</si>
  <si>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</si>
  <si>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</si>
  <si>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</si>
  <si>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</si>
  <si>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</si>
  <si>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</si>
  <si>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</si>
  <si>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</si>
  <si>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</si>
  <si>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</si>
  <si>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</si>
  <si>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</si>
  <si>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</si>
  <si>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</si>
  <si>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</si>
  <si>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</si>
  <si>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</si>
  <si>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</si>
  <si>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</si>
  <si>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</si>
  <si>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</si>
  <si>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</si>
  <si>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</si>
  <si>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</si>
  <si>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</si>
  <si>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</si>
  <si>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</si>
  <si>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</si>
  <si>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</si>
  <si>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</si>
  <si>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</si>
  <si>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</si>
  <si>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</si>
  <si>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</si>
  <si>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</si>
  <si>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</si>
  <si>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</si>
  <si>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</si>
  <si>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</si>
  <si>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</si>
  <si>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</si>
  <si>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</si>
  <si>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</si>
  <si>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</si>
  <si>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</si>
  <si>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</si>
  <si>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</si>
  <si>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</si>
  <si>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</si>
  <si>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</si>
  <si>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</si>
  <si>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</si>
  <si>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</si>
  <si>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</si>
  <si>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</si>
  <si>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</si>
  <si>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</si>
  <si>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</si>
  <si>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</si>
  <si>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</si>
  <si>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</si>
  <si>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</si>
  <si>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</si>
  <si>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</si>
  <si>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</si>
  <si>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</si>
  <si>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</si>
  <si>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</si>
  <si>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</si>
  <si>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</si>
  <si>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</si>
  <si>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</si>
  <si>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</si>
  <si>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</si>
  <si>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</si>
  <si>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</si>
  <si>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</si>
  <si>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</si>
  <si>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</si>
  <si>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</si>
  <si>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</si>
  <si>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</si>
  <si>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</si>
  <si>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</si>
  <si>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</si>
  <si>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</si>
  <si>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</si>
  <si>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</si>
  <si>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</si>
  <si>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</si>
  <si>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</si>
  <si>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</si>
  <si>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</si>
  <si>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</si>
  <si>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</si>
  <si>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</si>
  <si>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</si>
  <si>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</si>
  <si>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</si>
  <si>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</si>
  <si>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</si>
  <si>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</si>
  <si>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</si>
  <si>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</si>
  <si>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</si>
  <si>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</si>
  <si>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</si>
  <si>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</si>
  <si>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</si>
  <si>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</si>
  <si>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</si>
  <si>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</si>
  <si>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</si>
  <si>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</si>
  <si>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</si>
  <si>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</si>
  <si>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</si>
  <si>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</si>
  <si>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</si>
  <si>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</si>
  <si>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</si>
  <si>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</si>
  <si>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</si>
  <si>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</si>
  <si>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</si>
  <si>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</si>
  <si>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</si>
  <si>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</si>
  <si>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</si>
  <si>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</si>
  <si>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</si>
  <si>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</si>
  <si>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</si>
  <si>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</si>
  <si>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</si>
  <si>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</si>
  <si>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</si>
  <si>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</si>
  <si>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</si>
  <si>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</si>
  <si>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</si>
  <si>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</si>
  <si>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0811.HK</t>
  </si>
  <si>
    <t>新华文轩</t>
  </si>
  <si>
    <t xml:space="preserve">Superior Cycl. </t>
  </si>
  <si>
    <t>C0012</t>
  </si>
  <si>
    <t>CNY</t>
  </si>
  <si>
    <t>agree</t>
  </si>
  <si>
    <t>Strongly 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</si>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</sst>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267</v>
      </c>
    </row>
    <row r="5" spans="1:5" ht="13.9" x14ac:dyDescent="0.4">
      <c r="B5" s="140" t="s">
        <v>181</v>
      </c>
      <c r="C5" s="190" t="s">
        <v>268</v>
      </c>
    </row>
    <row r="6" spans="1:5" ht="13.9" x14ac:dyDescent="0.4">
      <c r="B6" s="140" t="s">
        <v>155</v>
      </c>
      <c r="C6" s="188">
        <v>45604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269</v>
      </c>
      <c r="E8" s="264"/>
    </row>
    <row r="9" spans="1:5" ht="13.9" x14ac:dyDescent="0.4">
      <c r="B9" s="139" t="s">
        <v>202</v>
      </c>
      <c r="C9" s="191" t="s">
        <v>270</v>
      </c>
    </row>
    <row r="10" spans="1:5" ht="13.9" x14ac:dyDescent="0.4">
      <c r="B10" s="139" t="s">
        <v>203</v>
      </c>
      <c r="C10" s="192">
        <v>1233841000</v>
      </c>
    </row>
    <row r="11" spans="1:5" ht="13.9" x14ac:dyDescent="0.4">
      <c r="B11" s="139" t="s">
        <v>204</v>
      </c>
      <c r="C11" s="191" t="s">
        <v>271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237</v>
      </c>
      <c r="C15" s="175" t="s">
        <v>241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272</v>
      </c>
      <c r="D17" s="24"/>
    </row>
    <row r="18" spans="2:13" ht="13.9" x14ac:dyDescent="0.4">
      <c r="B18" s="237" t="s">
        <v>223</v>
      </c>
      <c r="C18" s="239" t="s">
        <v>228</v>
      </c>
      <c r="D18" s="24"/>
    </row>
    <row r="19" spans="2:13" ht="13.9" x14ac:dyDescent="0.4">
      <c r="B19" s="237" t="s">
        <v>224</v>
      </c>
      <c r="C19" s="239" t="s">
        <v>272</v>
      </c>
      <c r="D19" s="24"/>
    </row>
    <row r="20" spans="2:13" ht="13.9" x14ac:dyDescent="0.4">
      <c r="B20" s="238" t="s">
        <v>213</v>
      </c>
      <c r="C20" s="239" t="s">
        <v>272</v>
      </c>
      <c r="D20" s="24"/>
    </row>
    <row r="21" spans="2:13" ht="13.9" x14ac:dyDescent="0.4">
      <c r="B21" s="221" t="s">
        <v>216</v>
      </c>
      <c r="C21" s="239" t="s">
        <v>273</v>
      </c>
      <c r="D21" s="24"/>
    </row>
    <row r="22" spans="2:13" ht="78.75" x14ac:dyDescent="0.4">
      <c r="B22" s="223" t="s">
        <v>215</v>
      </c>
      <c r="C22" s="240" t="s">
        <v>274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11868490425.190001</v>
      </c>
      <c r="D25" s="148">
        <v>10930302487.299999</v>
      </c>
      <c r="E25" s="148"/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7386835892.0799999</v>
      </c>
      <c r="D26" s="149">
        <v>6956163862.6700001</v>
      </c>
      <c r="E26" s="149"/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v>3020689977.3999996</v>
      </c>
      <c r="D27" s="149">
        <v>2613446855.2799997</v>
      </c>
      <c r="E27" s="149"/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>
        <v>19979888.16</v>
      </c>
      <c r="D28" s="149">
        <v>14166706.34</v>
      </c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238</v>
      </c>
      <c r="C29" s="149">
        <v>17875456.73</v>
      </c>
      <c r="D29" s="149">
        <v>20978186.489999998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49204300.670000002</v>
      </c>
      <c r="D30" s="149">
        <v>-5437935.0599999996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262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260</v>
      </c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261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f>0.4+0.19</f>
        <v>0.59000000000000008</v>
      </c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234</v>
      </c>
      <c r="C45" s="151">
        <f>IF(C44="","",C44*Exchange_Rate/Dashboard!$G$3)</f>
        <v>5.7819999576708601E-2</v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232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243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242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18" t="s">
        <v>67</v>
      </c>
    </row>
    <row r="66" spans="2:5" ht="13.9" x14ac:dyDescent="0.4">
      <c r="B66" s="3" t="s">
        <v>68</v>
      </c>
      <c r="C66" s="59"/>
      <c r="D66" s="60">
        <v>0.2</v>
      </c>
      <c r="E66" s="218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3" t="s">
        <v>72</v>
      </c>
      <c r="C72" s="244"/>
      <c r="D72" s="245">
        <v>0</v>
      </c>
      <c r="E72" s="246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265</v>
      </c>
      <c r="C82" s="214"/>
    </row>
    <row r="83" spans="2:8" ht="14.25" hidden="1" thickTop="1" x14ac:dyDescent="0.4">
      <c r="B83" s="73" t="s">
        <v>266</v>
      </c>
      <c r="C83" s="214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6">
        <v>5</v>
      </c>
    </row>
    <row r="87" spans="2:8" ht="13.9" x14ac:dyDescent="0.4">
      <c r="B87" s="10" t="s">
        <v>231</v>
      </c>
      <c r="C87" s="233" t="s">
        <v>275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1CNY)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11868490425.190001</v>
      </c>
      <c r="D91" s="206"/>
      <c r="E91" s="248">
        <f>C91</f>
        <v>11868490425.190001</v>
      </c>
      <c r="F91" s="248">
        <f>C91</f>
        <v>11868490425.190001</v>
      </c>
    </row>
    <row r="92" spans="2:8" ht="13.9" x14ac:dyDescent="0.4">
      <c r="B92" s="104" t="s">
        <v>102</v>
      </c>
      <c r="C92" s="77">
        <f>C26</f>
        <v>7386835892.0799999</v>
      </c>
      <c r="D92" s="158">
        <f>C92/C91</f>
        <v>0.6223905170283478</v>
      </c>
      <c r="E92" s="249">
        <f>E91*D92</f>
        <v>7386835892.0799999</v>
      </c>
      <c r="F92" s="249">
        <f>F91*D92</f>
        <v>7386835892.0799999</v>
      </c>
    </row>
    <row r="93" spans="2:8" ht="13.9" x14ac:dyDescent="0.4">
      <c r="B93" s="104" t="s">
        <v>230</v>
      </c>
      <c r="C93" s="77">
        <f>C27+C28</f>
        <v>3040669865.5599995</v>
      </c>
      <c r="D93" s="158">
        <f>C93/C91</f>
        <v>0.25619685036829964</v>
      </c>
      <c r="E93" s="249">
        <f>E91*D93</f>
        <v>3040669865.5599995</v>
      </c>
      <c r="F93" s="249">
        <f>F91*D93</f>
        <v>3040669865.5599995</v>
      </c>
    </row>
    <row r="94" spans="2:8" ht="13.9" x14ac:dyDescent="0.4">
      <c r="B94" s="104" t="s">
        <v>238</v>
      </c>
      <c r="C94" s="77">
        <f>C29</f>
        <v>17875456.73</v>
      </c>
      <c r="D94" s="158">
        <f>C94/C91</f>
        <v>1.5061272402478966E-3</v>
      </c>
      <c r="E94" s="250"/>
      <c r="F94" s="249">
        <f>F91*D94</f>
        <v>17875456.73</v>
      </c>
    </row>
    <row r="95" spans="2:8" ht="13.9" x14ac:dyDescent="0.4">
      <c r="B95" s="28" t="s">
        <v>229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65605734.226666667</v>
      </c>
      <c r="D97" s="158">
        <f>C97/C91</f>
        <v>5.5277235668845723E-3</v>
      </c>
      <c r="E97" s="250"/>
      <c r="F97" s="249">
        <f>F91*D97</f>
        <v>65605734.226666667</v>
      </c>
    </row>
    <row r="98" spans="2:7" ht="13.9" x14ac:dyDescent="0.4">
      <c r="B98" s="86" t="s">
        <v>193</v>
      </c>
      <c r="C98" s="234">
        <f>C44</f>
        <v>0.59000000000000008</v>
      </c>
      <c r="D98" s="263"/>
      <c r="E98" s="251">
        <f>F98</f>
        <v>0.59000000000000008</v>
      </c>
      <c r="F98" s="251">
        <f>C98</f>
        <v>0.59000000000000008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0811.HK : 新华文轩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0811.HK</v>
      </c>
      <c r="D3" s="290"/>
      <c r="E3" s="87"/>
      <c r="F3" s="3" t="s">
        <v>1</v>
      </c>
      <c r="G3" s="131">
        <v>10.9</v>
      </c>
      <c r="H3" s="133" t="s">
        <v>276</v>
      </c>
    </row>
    <row r="4" spans="1:10" ht="15.75" customHeight="1" x14ac:dyDescent="0.4">
      <c r="B4" s="35" t="s">
        <v>181</v>
      </c>
      <c r="C4" s="291" t="str">
        <f>Inputs!C5</f>
        <v>新华文轩</v>
      </c>
      <c r="D4" s="292"/>
      <c r="E4" s="87"/>
      <c r="F4" s="3" t="s">
        <v>2</v>
      </c>
      <c r="G4" s="295">
        <f>Inputs!C10</f>
        <v>1233841000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45604</v>
      </c>
      <c r="D5" s="294"/>
      <c r="E5" s="34"/>
      <c r="F5" s="35" t="s">
        <v>96</v>
      </c>
      <c r="G5" s="287">
        <f>G3*G4/1000000</f>
        <v>13448.866900000001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 xml:space="preserve">Superior Cycl. </v>
      </c>
      <c r="D7" s="186" t="str">
        <f>Inputs!C9</f>
        <v>C0012</v>
      </c>
      <c r="E7" s="87"/>
      <c r="F7" s="35" t="s">
        <v>5</v>
      </c>
      <c r="G7" s="132">
        <v>1.0681999921798706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235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CN</v>
      </c>
      <c r="F16" s="110" t="s">
        <v>166</v>
      </c>
    </row>
    <row r="17" spans="1:8" ht="15.75" customHeight="1" thickTop="1" x14ac:dyDescent="0.4">
      <c r="B17" s="87" t="s">
        <v>236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259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250</v>
      </c>
      <c r="C20" s="273" t="e">
        <f>C23*C22*(1/C21)</f>
        <v>#DIV/0!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248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263</v>
      </c>
      <c r="C22" s="277" t="e">
        <f>Data!C48</f>
        <v>#DIV/0!</v>
      </c>
      <c r="F22" s="141" t="s">
        <v>171</v>
      </c>
    </row>
    <row r="23" spans="1:8" ht="15.75" customHeight="1" thickBot="1" x14ac:dyDescent="0.45">
      <c r="B23" s="278" t="s">
        <v>255</v>
      </c>
      <c r="C23" s="279">
        <f>Data!C13</f>
        <v>0.11588490903646796</v>
      </c>
      <c r="F23" s="139" t="s">
        <v>175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256</v>
      </c>
      <c r="C24" s="170">
        <f>Fin_Analysis!I81</f>
        <v>1.5061272402478966E-3</v>
      </c>
      <c r="F24" s="139" t="s">
        <v>240</v>
      </c>
      <c r="G24" s="265">
        <f>G3/(Fin_Analysis!H86*G7)</f>
        <v>12.366047522746749</v>
      </c>
    </row>
    <row r="25" spans="1:8" ht="15.75" customHeight="1" x14ac:dyDescent="0.4">
      <c r="B25" s="136" t="s">
        <v>257</v>
      </c>
      <c r="C25" s="170">
        <f>Fin_Analysis!I80</f>
        <v>0</v>
      </c>
      <c r="F25" s="139" t="s">
        <v>162</v>
      </c>
      <c r="G25" s="170">
        <f>Fin_Analysis!I88</f>
        <v>0.71500486253077544</v>
      </c>
    </row>
    <row r="26" spans="1:8" ht="15.75" customHeight="1" x14ac:dyDescent="0.4">
      <c r="B26" s="137" t="s">
        <v>258</v>
      </c>
      <c r="C26" s="170">
        <f>Fin_Analysis!I80+Fin_Analysis!I82</f>
        <v>0</v>
      </c>
      <c r="F26" s="140" t="s">
        <v>179</v>
      </c>
      <c r="G26" s="177">
        <f>Fin_Analysis!H88*Exchange_Rate/G3</f>
        <v>5.7819999576708601E-2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239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5.3248489417459606</v>
      </c>
      <c r="D29" s="128">
        <f>G29*(1+G20)</f>
        <v>9.5813446207655275</v>
      </c>
      <c r="E29" s="87"/>
      <c r="F29" s="130">
        <f>IF(Fin_Analysis!C108="Profit",Fin_Analysis!F100,IF(Fin_Analysis!C108="Dividend",Fin_Analysis!F103,Fin_Analysis!F106))</f>
        <v>6.2645281667599537</v>
      </c>
      <c r="G29" s="286">
        <f>IF(Fin_Analysis!C108="Profit",Fin_Analysis!I100,IF(Fin_Analysis!C108="Dividend",Fin_Analysis!I103,Fin_Analysis!I106))</f>
        <v>8.3316040180569804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agree</v>
      </c>
    </row>
    <row r="34" spans="1:3" ht="15.75" customHeight="1" x14ac:dyDescent="0.4">
      <c r="A34"/>
      <c r="B34" s="19" t="s">
        <v>210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unclear</v>
      </c>
    </row>
    <row r="37" spans="1:3" ht="15.75" customHeight="1" x14ac:dyDescent="0.4">
      <c r="A37"/>
      <c r="B37" s="20" t="s">
        <v>224</v>
      </c>
      <c r="C37" s="242" t="str">
        <f>Inputs!C19</f>
        <v>agree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agree</v>
      </c>
    </row>
    <row r="40" spans="1:3" ht="15.75" customHeight="1" x14ac:dyDescent="0.4">
      <c r="A40"/>
      <c r="B40" s="1" t="s">
        <v>216</v>
      </c>
      <c r="C40" s="242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1375378933.3233342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</v>
      </c>
      <c r="D4" s="1" t="str">
        <f>Dashboard!G6</f>
        <v>CNY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11868490425.190001</v>
      </c>
      <c r="D6" s="199">
        <f>IF(Inputs!D25="","",Inputs!D25)</f>
        <v>10930302487.299999</v>
      </c>
      <c r="E6" s="199" t="str">
        <f>IF(Inputs!E25="","",Inputs!E25)</f>
        <v/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8.5833666449770085E-2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7386835892.0799999</v>
      </c>
      <c r="D8" s="198">
        <f>IF(Inputs!D26="","",Inputs!D26)</f>
        <v>6956163862.6700001</v>
      </c>
      <c r="E8" s="198" t="str">
        <f>IF(Inputs!E26="","",Inputs!E26)</f>
        <v/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4481654533.1100006</v>
      </c>
      <c r="D9" s="150">
        <f t="shared" si="2"/>
        <v>3974138624.6299992</v>
      </c>
      <c r="E9" s="150" t="str">
        <f t="shared" si="2"/>
        <v/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3020689977.3999996</v>
      </c>
      <c r="D10" s="198">
        <f>IF(Inputs!D27="","",Inputs!D27)</f>
        <v>2613446855.2799997</v>
      </c>
      <c r="E10" s="198" t="str">
        <f>IF(Inputs!E27="","",Inputs!E27)</f>
        <v/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>
        <f>IF(Inputs!C28="","",Inputs!C28)</f>
        <v>19979888.16</v>
      </c>
      <c r="D11" s="198">
        <f>IF(Inputs!D28="","",Inputs!D28)</f>
        <v>14166706.34</v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65605734.226666667</v>
      </c>
      <c r="D12" s="198">
        <f>IF(Inputs!D30="","",MAX(Inputs!D30,0)/(1-Fin_Analysis!$I$84))</f>
        <v>0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0.11588490903646796</v>
      </c>
      <c r="D13" s="226">
        <f t="shared" si="3"/>
        <v>0.12319193037654147</v>
      </c>
      <c r="E13" s="226" t="str">
        <f t="shared" si="3"/>
        <v/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1375378933.3233342</v>
      </c>
      <c r="D14" s="227">
        <f t="shared" ref="D14:M14" si="4">IF(D6="","",D9-D10-MAX(D11,0)-MAX(D12,0))</f>
        <v>1346525063.0099995</v>
      </c>
      <c r="E14" s="227" t="str">
        <f t="shared" si="4"/>
        <v/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2.1428394543830654E-2</v>
      </c>
      <c r="D15" s="229" t="str">
        <f t="shared" ref="D15:M15" si="5">IF(E14="","",IF(ABS(D14+E14)=ABS(D14)+ABS(E14),IF(D14&lt;0,-1,1)*(D14-E14)/E14,"Turn"))</f>
        <v/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238</v>
      </c>
      <c r="C17" s="198">
        <f>IF(Inputs!C29="","",Inputs!C29)</f>
        <v>17875456.73</v>
      </c>
      <c r="D17" s="198">
        <f>IF(Inputs!D29="","",Inputs!D29)</f>
        <v>20978186.489999998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0</v>
      </c>
      <c r="D20" s="151">
        <f t="shared" si="7"/>
        <v>0</v>
      </c>
      <c r="E20" s="151" t="str">
        <f t="shared" si="7"/>
        <v/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1357503476.5933342</v>
      </c>
      <c r="D22" s="160">
        <f t="shared" ref="D22:M22" si="8">IF(D6="","",D14-MAX(D16,0)-MAX(D17,0)-ABS(MAX(D21,0)-MAX(D19,0)))</f>
        <v>1325546876.5199995</v>
      </c>
      <c r="E22" s="160" t="str">
        <f t="shared" si="8"/>
        <v/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8.5784086347165056E-2</v>
      </c>
      <c r="D23" s="152">
        <f t="shared" si="9"/>
        <v>9.0954496322962861E-2</v>
      </c>
      <c r="E23" s="152" t="str">
        <f t="shared" si="9"/>
        <v/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1018127607.4450006</v>
      </c>
      <c r="D24" s="77">
        <f>IF(D6="","",D22*(1-Fin_Analysis!$I$84))</f>
        <v>994160157.38999963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2.4108238372701971E-2</v>
      </c>
      <c r="D25" s="230" t="str">
        <f t="shared" ref="D25:M25" si="10">IF(E24="","",IF(ABS(D24+E24)=ABS(D24)+ABS(E24),IF(D24&lt;0,-1,1)*(D24-E24)/E24,"Turn"))</f>
        <v/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260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0.6223905170283478</v>
      </c>
      <c r="D40" s="155">
        <f t="shared" si="34"/>
        <v>0.63641092007768485</v>
      </c>
      <c r="E40" s="155" t="str">
        <f t="shared" si="34"/>
        <v/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0.25619685036829964</v>
      </c>
      <c r="D41" s="152">
        <f t="shared" si="35"/>
        <v>0.24039714954577368</v>
      </c>
      <c r="E41" s="152" t="str">
        <f t="shared" si="35"/>
        <v/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0</v>
      </c>
      <c r="E42" s="152" t="str">
        <f t="shared" si="36"/>
        <v/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1.5061272402478966E-3</v>
      </c>
      <c r="D43" s="152">
        <f t="shared" si="37"/>
        <v>1.9192686125909793E-3</v>
      </c>
      <c r="E43" s="152" t="str">
        <f t="shared" si="37"/>
        <v/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5.5277235668845723E-3</v>
      </c>
      <c r="D44" s="152">
        <f t="shared" si="38"/>
        <v>0</v>
      </c>
      <c r="E44" s="152" t="str">
        <f t="shared" si="38"/>
        <v/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0</v>
      </c>
      <c r="D45" s="152">
        <f t="shared" si="39"/>
        <v>0</v>
      </c>
      <c r="E45" s="152" t="str">
        <f t="shared" si="39"/>
        <v/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0.11437878179622006</v>
      </c>
      <c r="D46" s="152">
        <f t="shared" si="40"/>
        <v>0.12127266176395049</v>
      </c>
      <c r="E46" s="152" t="str">
        <f t="shared" si="40"/>
        <v/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246</v>
      </c>
      <c r="C47" s="280" t="s">
        <v>264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252</v>
      </c>
      <c r="C48" s="269" t="e">
        <f t="shared" ref="C48:M48" si="41">IF(C6="","",C6/C27)</f>
        <v>#DIV/0!</v>
      </c>
      <c r="D48" s="269" t="e">
        <f t="shared" si="41"/>
        <v>#VALUE!</v>
      </c>
      <c r="E48" s="269" t="str">
        <f t="shared" si="41"/>
        <v/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253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254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244</v>
      </c>
      <c r="C51" s="152" t="e">
        <f t="shared" ref="C51:M51" si="44">IF(D6="","",C16/(C6-D6))</f>
        <v>#VALUE!</v>
      </c>
      <c r="D51" s="152" t="str">
        <f t="shared" si="44"/>
        <v/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248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1.316789020302077E-2</v>
      </c>
      <c r="D55" s="152">
        <f t="shared" si="47"/>
        <v>1.5826061576241422E-2</v>
      </c>
      <c r="E55" s="152" t="str">
        <f t="shared" si="47"/>
        <v/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249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250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str">
        <f t="shared" si="49"/>
        <v/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251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str">
        <f t="shared" si="50"/>
        <v/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0</v>
      </c>
      <c r="K3" s="24"/>
    </row>
    <row r="4" spans="1:11" ht="15" customHeight="1" x14ac:dyDescent="0.4">
      <c r="B4" s="3" t="s">
        <v>23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81">
        <f>I49-I28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11868490425.190001</v>
      </c>
      <c r="D74" s="206"/>
      <c r="E74" s="235">
        <f>Inputs!E91</f>
        <v>11868490425.190001</v>
      </c>
      <c r="F74" s="206"/>
      <c r="H74" s="235">
        <f>Inputs!F91</f>
        <v>11868490425.190001</v>
      </c>
      <c r="I74" s="206"/>
      <c r="K74" s="24"/>
    </row>
    <row r="75" spans="1:11" ht="15" customHeight="1" x14ac:dyDescent="0.4">
      <c r="B75" s="104" t="s">
        <v>102</v>
      </c>
      <c r="C75" s="77">
        <f>Data!C8</f>
        <v>7386835892.0799999</v>
      </c>
      <c r="D75" s="158">
        <f>C75/$C$74</f>
        <v>0.6223905170283478</v>
      </c>
      <c r="E75" s="235">
        <f>Inputs!E92</f>
        <v>7386835892.0799999</v>
      </c>
      <c r="F75" s="159">
        <f>E75/E74</f>
        <v>0.6223905170283478</v>
      </c>
      <c r="H75" s="235">
        <f>Inputs!F92</f>
        <v>7386835892.0799999</v>
      </c>
      <c r="I75" s="159">
        <f>H75/$H$74</f>
        <v>0.6223905170283478</v>
      </c>
      <c r="K75" s="24"/>
    </row>
    <row r="76" spans="1:11" ht="15" customHeight="1" x14ac:dyDescent="0.4">
      <c r="B76" s="35" t="s">
        <v>92</v>
      </c>
      <c r="C76" s="160">
        <f>C74-C75</f>
        <v>4481654533.1100006</v>
      </c>
      <c r="D76" s="207"/>
      <c r="E76" s="161">
        <f>E74-E75</f>
        <v>4481654533.1100006</v>
      </c>
      <c r="F76" s="207"/>
      <c r="H76" s="161">
        <f>H74-H75</f>
        <v>4481654533.1100006</v>
      </c>
      <c r="I76" s="207"/>
      <c r="K76" s="24"/>
    </row>
    <row r="77" spans="1:11" ht="15" customHeight="1" x14ac:dyDescent="0.4">
      <c r="B77" s="104" t="s">
        <v>230</v>
      </c>
      <c r="C77" s="77">
        <f>Data!C10+MAX(Data!C11,0)</f>
        <v>3040669865.5599995</v>
      </c>
      <c r="D77" s="158">
        <f>C77/$C$74</f>
        <v>0.25619685036829964</v>
      </c>
      <c r="E77" s="235">
        <f>Inputs!E93</f>
        <v>3040669865.5599995</v>
      </c>
      <c r="F77" s="159">
        <f>E77/E74</f>
        <v>0.25619685036829964</v>
      </c>
      <c r="H77" s="235">
        <f>Inputs!F93</f>
        <v>3040669865.5599995</v>
      </c>
      <c r="I77" s="159">
        <f>H77/$H$74</f>
        <v>0.25619685036829964</v>
      </c>
      <c r="K77" s="24"/>
    </row>
    <row r="78" spans="1:11" ht="15" customHeight="1" x14ac:dyDescent="0.4">
      <c r="B78" s="73" t="s">
        <v>161</v>
      </c>
      <c r="C78" s="77">
        <f>MAX(Data!C12,0)</f>
        <v>65605734.226666667</v>
      </c>
      <c r="D78" s="158">
        <f>C78/$C$74</f>
        <v>5.5277235668845723E-3</v>
      </c>
      <c r="E78" s="179">
        <f>E74*F78</f>
        <v>65605734.226666667</v>
      </c>
      <c r="F78" s="159">
        <f>I78</f>
        <v>5.5277235668845723E-3</v>
      </c>
      <c r="H78" s="235">
        <f>Inputs!F97</f>
        <v>65605734.226666667</v>
      </c>
      <c r="I78" s="159">
        <f>H78/$H$74</f>
        <v>5.5277235668845723E-3</v>
      </c>
      <c r="K78" s="24"/>
    </row>
    <row r="79" spans="1:11" ht="15" customHeight="1" x14ac:dyDescent="0.4">
      <c r="B79" s="253" t="s">
        <v>217</v>
      </c>
      <c r="C79" s="254">
        <f>C76-C77-C78</f>
        <v>1375378933.3233345</v>
      </c>
      <c r="D79" s="255">
        <f>C79/C74</f>
        <v>0.11588490903646799</v>
      </c>
      <c r="E79" s="256">
        <f>E76-E77-E78</f>
        <v>1375378933.3233345</v>
      </c>
      <c r="F79" s="255">
        <f>E79/E74</f>
        <v>0.11588490903646799</v>
      </c>
      <c r="G79" s="257"/>
      <c r="H79" s="256">
        <f>H76-H77-H78</f>
        <v>1375378933.3233345</v>
      </c>
      <c r="I79" s="255">
        <f>H79/H74</f>
        <v>0.11588490903646799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238</v>
      </c>
      <c r="C81" s="77">
        <f>MAX(Data!C17,0)</f>
        <v>17875456.73</v>
      </c>
      <c r="D81" s="158">
        <f>C81/$C$74</f>
        <v>1.5061272402478966E-3</v>
      </c>
      <c r="E81" s="179">
        <f>E74*F81</f>
        <v>17875456.73</v>
      </c>
      <c r="F81" s="159">
        <f>I81</f>
        <v>1.5061272402478966E-3</v>
      </c>
      <c r="H81" s="235">
        <f>Inputs!F94</f>
        <v>17875456.73</v>
      </c>
      <c r="I81" s="159">
        <f>H81/$H$74</f>
        <v>1.5061272402478966E-3</v>
      </c>
      <c r="K81" s="24"/>
    </row>
    <row r="82" spans="1:11" ht="15" customHeight="1" x14ac:dyDescent="0.4">
      <c r="B82" s="28" t="s">
        <v>229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120</v>
      </c>
      <c r="C83" s="162">
        <f>C79-C81-C82-C80</f>
        <v>1357503476.5933344</v>
      </c>
      <c r="D83" s="163">
        <f>C83/$C$74</f>
        <v>0.11437878179622009</v>
      </c>
      <c r="E83" s="164">
        <f>E79-E81-E82-E80</f>
        <v>1357503476.5933344</v>
      </c>
      <c r="F83" s="163">
        <f>E83/E74</f>
        <v>0.11437878179622009</v>
      </c>
      <c r="H83" s="164">
        <f>H79-H81-H82-H80</f>
        <v>1357503476.5933344</v>
      </c>
      <c r="I83" s="163">
        <f>H83/$H$74</f>
        <v>0.11437878179622009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1018127607.4450009</v>
      </c>
      <c r="D85" s="255">
        <f>C85/$C$74</f>
        <v>8.578408634716507E-2</v>
      </c>
      <c r="E85" s="261">
        <f>E83*(1-F84)</f>
        <v>1018127607.4450009</v>
      </c>
      <c r="F85" s="255">
        <f>E85/E74</f>
        <v>8.578408634716507E-2</v>
      </c>
      <c r="G85" s="257"/>
      <c r="H85" s="261">
        <f>H83*(1-I84)</f>
        <v>1018127607.4450009</v>
      </c>
      <c r="I85" s="255">
        <f>H85/$H$74</f>
        <v>8.578408634716507E-2</v>
      </c>
      <c r="K85" s="24"/>
    </row>
    <row r="86" spans="1:11" ht="15" customHeight="1" x14ac:dyDescent="0.4">
      <c r="B86" s="87" t="s">
        <v>152</v>
      </c>
      <c r="C86" s="166">
        <f>C85*Data!C4/Common_Shares</f>
        <v>0.82516921341161531</v>
      </c>
      <c r="D86" s="206"/>
      <c r="E86" s="167">
        <f>E85*Data!C4/Common_Shares</f>
        <v>0.82516921341161531</v>
      </c>
      <c r="F86" s="206"/>
      <c r="H86" s="167">
        <f>H85*Data!C4/Common_Shares</f>
        <v>0.82516921341161531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8.0866582322326366E-2</v>
      </c>
      <c r="D87" s="206"/>
      <c r="E87" s="259">
        <f>E86*Exchange_Rate/Dashboard!G3</f>
        <v>8.0866582322326366E-2</v>
      </c>
      <c r="F87" s="206"/>
      <c r="H87" s="259">
        <f>H86*Exchange_Rate/Dashboard!G3</f>
        <v>8.0866582322326366E-2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0.59000000000000008</v>
      </c>
      <c r="D88" s="165">
        <f>C88/C86</f>
        <v>0.71500486253077544</v>
      </c>
      <c r="E88" s="169">
        <f>Inputs!E98</f>
        <v>0.59000000000000008</v>
      </c>
      <c r="F88" s="165">
        <f>E88/E86</f>
        <v>0.71500486253077544</v>
      </c>
      <c r="H88" s="169">
        <f>Inputs!F98</f>
        <v>0.59000000000000008</v>
      </c>
      <c r="I88" s="165">
        <f>H88/H86</f>
        <v>0.71500486253077544</v>
      </c>
      <c r="K88" s="24"/>
    </row>
    <row r="89" spans="1:11" ht="15" customHeight="1" x14ac:dyDescent="0.4">
      <c r="B89" s="87" t="s">
        <v>206</v>
      </c>
      <c r="C89" s="258">
        <f>C88*Exchange_Rate/Dashboard!G3</f>
        <v>5.7819999576708601E-2</v>
      </c>
      <c r="D89" s="206"/>
      <c r="E89" s="258">
        <f>E88*Exchange_Rate/Dashboard!G3</f>
        <v>5.7819999576708601E-2</v>
      </c>
      <c r="F89" s="206"/>
      <c r="H89" s="258">
        <f>H88*Exchange_Rate/Dashboard!G3</f>
        <v>5.7819999576708601E-2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195</v>
      </c>
      <c r="F93" s="143">
        <f>FV(E87,D93,0,-(E86/(C93-D94)))*Exchange_Rate</f>
        <v>19.627733515122642</v>
      </c>
      <c r="H93" s="87" t="s">
        <v>195</v>
      </c>
      <c r="I93" s="143">
        <f>FV(H87,D93,0,-(H86/(C93-D94)))*Exchange_Rate</f>
        <v>19.627733515122642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12.600203754508827</v>
      </c>
      <c r="H94" s="87" t="s">
        <v>196</v>
      </c>
      <c r="I94" s="143">
        <f>FV(H89,D93,0,-(H88/(C93-D94)))*Exchange_Rate</f>
        <v>12.600203754508827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12040378754.473434</v>
      </c>
      <c r="D97" s="210"/>
      <c r="E97" s="122">
        <f>PV(C94,D93,0,-F93)</f>
        <v>9.7584524703535021</v>
      </c>
      <c r="F97" s="210"/>
      <c r="H97" s="122">
        <f>PV(C94,D93,0,-I93)</f>
        <v>9.7584524703535021</v>
      </c>
      <c r="I97" s="122">
        <f>PV(C93,D93,0,-I93)</f>
        <v>12.978401508898623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12040378754.473434</v>
      </c>
      <c r="D100" s="109">
        <f>MIN(F100*(1-C94),E100)</f>
        <v>8.2946845998004761</v>
      </c>
      <c r="E100" s="109">
        <f>MAX(E97+H98+E99,0)</f>
        <v>9.7584524703535021</v>
      </c>
      <c r="F100" s="109">
        <f>(E100+H100)/2</f>
        <v>9.7584524703535021</v>
      </c>
      <c r="H100" s="109">
        <f>MAX(C100*Data!$C$4/Common_Shares,0)</f>
        <v>9.7584524703535021</v>
      </c>
      <c r="I100" s="109">
        <f>MAX(I97+H98+H99,0)</f>
        <v>12.978401508898623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7729431697.8032684</v>
      </c>
      <c r="D103" s="109">
        <f>MIN(F103*(1-C94),E103)</f>
        <v>5.3248489417459606</v>
      </c>
      <c r="E103" s="122">
        <f>PV(C94,D93,0,-F94)</f>
        <v>6.2645281667599537</v>
      </c>
      <c r="F103" s="109">
        <f>(E103+H103)/2</f>
        <v>6.2645281667599537</v>
      </c>
      <c r="H103" s="122">
        <f>PV(C94,D93,0,-I94)</f>
        <v>6.2645281667599537</v>
      </c>
      <c r="I103" s="109">
        <f>PV(C93,D93,0,-I94)</f>
        <v>8.3316040180569804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9884905226.1383514</v>
      </c>
      <c r="D106" s="109">
        <f>(D100+D103)/2</f>
        <v>6.8097667707732183</v>
      </c>
      <c r="E106" s="122">
        <f>(E100+E103)/2</f>
        <v>8.0114903185567279</v>
      </c>
      <c r="F106" s="109">
        <f>(F100+F103)/2</f>
        <v>8.0114903185567279</v>
      </c>
      <c r="H106" s="122">
        <f>(H100+H103)/2</f>
        <v>8.0114903185567279</v>
      </c>
      <c r="I106" s="122">
        <f>(I100+I103)/2</f>
        <v>10.655002763477802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2024-12-17T03:35:16Z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