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B047049-6771-4666-91E4-880791A275D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6" i="4"/>
  <c r="E95" i="4"/>
  <c r="E93" i="4"/>
  <c r="E92" i="4"/>
  <c r="F91" i="4"/>
  <c r="F95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2" i="4" l="1"/>
  <c r="F93" i="4"/>
  <c r="F94" i="4"/>
  <c r="F97" i="4"/>
  <c r="D53" i="4"/>
  <c r="D3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<sst xmlns="http://schemas.openxmlformats.org/spreadsheetml/2006/main" count="392" uniqueCount="276">
  <si>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</si>
  <si>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</si>
  <si>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</si>
  <si>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</si>
  <si>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</si>
  <si>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</si>
  <si>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</si>
  <si>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</si>
  <si>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</si>
  <si>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</si>
  <si>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</si>
  <si>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</si>
  <si>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</si>
  <si>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</si>
  <si>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</si>
  <si>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</si>
  <si>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</si>
  <si>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</si>
  <si>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</si>
  <si>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</si>
  <si>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</si>
  <si>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</si>
  <si>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</si>
  <si>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</si>
  <si>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</si>
  <si>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</si>
  <si>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</si>
  <si>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</si>
  <si>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</si>
  <si>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</si>
  <si>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</si>
  <si>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</si>
  <si>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</si>
  <si>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</si>
  <si>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</si>
  <si>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</si>
  <si>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</si>
  <si>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</si>
  <si>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</si>
  <si>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</si>
  <si>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</si>
  <si>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</si>
  <si>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</si>
  <si>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</si>
  <si>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</si>
  <si>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</si>
  <si>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</si>
  <si>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</si>
  <si>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</si>
  <si>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</si>
  <si>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</si>
  <si>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</si>
  <si>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</si>
  <si>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</si>
  <si>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</si>
  <si>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</si>
  <si>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</si>
  <si>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</si>
  <si>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</si>
  <si>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</si>
  <si>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</si>
  <si>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</si>
  <si>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</si>
  <si>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</si>
  <si>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</si>
  <si>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</si>
  <si>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</si>
  <si>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</si>
  <si>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</si>
  <si>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</si>
  <si>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</si>
  <si>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</si>
  <si>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</si>
  <si>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</si>
  <si>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</si>
  <si>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</si>
  <si>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</si>
  <si>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</si>
  <si>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</si>
  <si>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</si>
  <si>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</si>
  <si>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</si>
  <si>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</si>
  <si>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</si>
  <si>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</si>
  <si>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</si>
  <si>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</si>
  <si>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</si>
  <si>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</si>
  <si>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</si>
  <si>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</si>
  <si>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</si>
  <si>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</si>
  <si>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</si>
  <si>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</si>
  <si>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</si>
  <si>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</si>
  <si>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</si>
  <si>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</si>
  <si>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</si>
  <si>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</si>
  <si>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</si>
  <si>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</si>
  <si>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</si>
  <si>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</si>
  <si>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</si>
  <si>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</si>
  <si>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</si>
  <si>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</si>
  <si>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</si>
  <si>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</si>
  <si>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</si>
  <si>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</si>
  <si>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</si>
  <si>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</si>
  <si>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</si>
  <si>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</si>
  <si>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</si>
  <si>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</si>
  <si>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</si>
  <si>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</si>
  <si>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</si>
  <si>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</si>
  <si>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</si>
  <si>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</si>
  <si>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</si>
  <si>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</si>
  <si>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</si>
  <si>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</si>
  <si>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</si>
  <si>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</si>
  <si>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</si>
  <si>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</si>
  <si>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</si>
  <si>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</si>
  <si>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</si>
  <si>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</si>
  <si>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</si>
  <si>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</si>
  <si>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</si>
  <si>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</si>
  <si>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</si>
  <si>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</si>
  <si>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</si>
  <si>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</si>
  <si>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</si>
  <si>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</si>
  <si>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</si>
  <si>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</si>
  <si>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</si>
  <si>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</si>
  <si>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</si>
  <si>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</si>
  <si>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</si>
  <si>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</si>
  <si>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</si>
  <si>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</si>
  <si>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</si>
  <si>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</si>
  <si>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</si>
  <si>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</si>
  <si>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</si>
  <si>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</si>
  <si>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</si>
  <si>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</si>
  <si>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</si>
  <si>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</si>
  <si>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</si>
  <si>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</si>
  <si>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</si>
  <si>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</si>
  <si>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</si>
  <si>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</si>
  <si>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</si>
  <si>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</si>
  <si>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</si>
  <si>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</si>
  <si>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</si>
  <si>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</si>
  <si>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</si>
  <si>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</si>
  <si>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</si>
  <si>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</si>
  <si>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</si>
  <si>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</si>
  <si>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</si>
  <si>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</si>
  <si>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</si>
  <si>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</si>
  <si>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</si>
  <si>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</si>
  <si>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</si>
  <si>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</si>
  <si>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</si>
  <si>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</si>
  <si>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</si>
  <si>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</si>
  <si>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</si>
  <si>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</si>
  <si>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</si>
  <si>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</si>
  <si>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</si>
  <si>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</si>
  <si>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</si>
  <si>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</si>
  <si>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</si>
  <si>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</si>
  <si>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</si>
  <si>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</si>
  <si>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</si>
  <si>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</si>
  <si>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</si>
  <si>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</si>
  <si>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</si>
  <si>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</si>
  <si>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</si>
  <si>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</si>
  <si>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</si>
  <si>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</si>
  <si>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</si>
  <si>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</si>
  <si>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</si>
  <si>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</si>
  <si>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</si>
  <si>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</si>
  <si>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</si>
  <si>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</si>
  <si>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</si>
  <si>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</si>
  <si>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</si>
  <si>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</si>
  <si>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</si>
  <si>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</si>
  <si>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</si>
  <si>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</si>
  <si>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</si>
  <si>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</si>
  <si>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</si>
  <si>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</si>
  <si>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</si>
  <si>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</si>
  <si>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</si>
  <si>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</si>
  <si>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</si>
  <si>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</si>
  <si>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</si>
  <si>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</si>
  <si>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</si>
  <si>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</si>
  <si>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</si>
  <si>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</si>
  <si>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</si>
  <si>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</si>
  <si>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</si>
  <si>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</si>
  <si>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</si>
  <si>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</si>
  <si>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</si>
  <si>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</si>
  <si>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</si>
  <si>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</si>
  <si>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</si>
  <si>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</si>
  <si>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</si>
  <si>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</si>
  <si>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</si>
  <si>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0939.HK</t>
  </si>
  <si>
    <t>建设银行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</si>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</sst>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250010977486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1402495</v>
      </c>
      <c r="D25" s="148">
        <v>1324203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669001</v>
      </c>
      <c r="D26" s="149">
        <v>567720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220152</v>
      </c>
      <c r="D27" s="149">
        <v>219991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-193</v>
      </c>
      <c r="D30" s="149">
        <v>136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>
        <v>11972903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v>213823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8852611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>
        <v>2466431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>
        <v>241133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35175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67759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>
        <v>12220942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>
        <v>-498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3475378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0.4+0.197</f>
        <v>0.59699999999999998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0.10203446325302125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3339708</v>
      </c>
      <c r="D48" s="60">
        <v>0.9</v>
      </c>
      <c r="E48" s="112"/>
    </row>
    <row r="49" spans="2:5" ht="13.9" x14ac:dyDescent="0.4">
      <c r="B49" s="1" t="s">
        <v>130</v>
      </c>
      <c r="C49" s="59">
        <v>683021</v>
      </c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>
        <v>2962684</v>
      </c>
      <c r="D51" s="60">
        <v>0.6</v>
      </c>
      <c r="E51" s="112"/>
    </row>
    <row r="52" spans="2:5" ht="13.9" x14ac:dyDescent="0.4">
      <c r="B52" s="3" t="s">
        <v>40</v>
      </c>
      <c r="C52" s="59">
        <v>6961515</v>
      </c>
      <c r="D52" s="60">
        <v>0.5</v>
      </c>
      <c r="E52" s="112"/>
    </row>
    <row r="53" spans="2:5" ht="13.9" x14ac:dyDescent="0.4">
      <c r="B53" s="1" t="s">
        <v>150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21347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4094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5722</v>
      </c>
      <c r="D70" s="60">
        <v>0.05</v>
      </c>
      <c r="E70" s="112"/>
    </row>
    <row r="71" spans="2:5" ht="13.9" x14ac:dyDescent="0.4">
      <c r="B71" s="3" t="s">
        <v>71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343468</v>
      </c>
      <c r="D72" s="245">
        <v>0</v>
      </c>
      <c r="E72" s="246"/>
    </row>
    <row r="73" spans="2:5" ht="13.9" x14ac:dyDescent="0.4">
      <c r="B73" s="3" t="s">
        <v>35</v>
      </c>
      <c r="C73" s="59">
        <v>33710837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>
        <v>3234661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1402495</v>
      </c>
      <c r="D91" s="206"/>
      <c r="E91" s="248">
        <f>C91</f>
        <v>1402495</v>
      </c>
      <c r="F91" s="248">
        <f>C91</f>
        <v>1402495</v>
      </c>
    </row>
    <row r="92" spans="2:8" ht="13.9" x14ac:dyDescent="0.4">
      <c r="B92" s="104" t="s">
        <v>102</v>
      </c>
      <c r="C92" s="77">
        <f>C26</f>
        <v>669001</v>
      </c>
      <c r="D92" s="158">
        <f>C92/C91</f>
        <v>0.47700776116848903</v>
      </c>
      <c r="E92" s="249">
        <f>E91*D92</f>
        <v>669001</v>
      </c>
      <c r="F92" s="249">
        <f>F91*D92</f>
        <v>669001</v>
      </c>
    </row>
    <row r="93" spans="2:8" ht="13.9" x14ac:dyDescent="0.4">
      <c r="B93" s="104" t="s">
        <v>229</v>
      </c>
      <c r="C93" s="77">
        <f>C27+C28</f>
        <v>220152</v>
      </c>
      <c r="D93" s="158">
        <f>C93/C91</f>
        <v>0.15697168260849415</v>
      </c>
      <c r="E93" s="249">
        <f>E91*D93</f>
        <v>220152</v>
      </c>
      <c r="F93" s="249">
        <f>F91*D93</f>
        <v>220152</v>
      </c>
    </row>
    <row r="94" spans="2:8" ht="13.9" x14ac:dyDescent="0.4">
      <c r="B94" s="104" t="s">
        <v>237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0.59699999999999998</v>
      </c>
      <c r="D98" s="263"/>
      <c r="E98" s="251">
        <f>F98</f>
        <v>0.4</v>
      </c>
      <c r="F98" s="251">
        <v>0.4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0939.HK</v>
      </c>
      <c r="D3" s="290"/>
      <c r="E3" s="87"/>
      <c r="F3" s="3" t="s">
        <v>1</v>
      </c>
      <c r="G3" s="131">
        <v>6.25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建设银行</v>
      </c>
      <c r="D4" s="292"/>
      <c r="E4" s="87"/>
      <c r="F4" s="3" t="s">
        <v>2</v>
      </c>
      <c r="G4" s="295">
        <f>Inputs!C10</f>
        <v>250010977486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1562568.6092874999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0.36602055622301682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</v>
      </c>
      <c r="F24" s="139" t="s">
        <v>239</v>
      </c>
      <c r="G24" s="265">
        <f>G3/(Fin_Analysis!H86*G7)</f>
        <v>3.7994301377084199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0.2597472795768383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6.8364799499511728E-2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3.7936237481775117</v>
      </c>
      <c r="D29" s="128">
        <f>G29*(1+G20)</f>
        <v>6.8261122316252676</v>
      </c>
      <c r="E29" s="87"/>
      <c r="F29" s="130">
        <f>IF(Fin_Analysis!C108="Profit",Fin_Analysis!F100,IF(Fin_Analysis!C108="Dividend",Fin_Analysis!F103,Fin_Analysis!F106))</f>
        <v>4.4630867625617787</v>
      </c>
      <c r="G29" s="286">
        <f>IF(Fin_Analysis!C108="Profit",Fin_Analysis!I100,IF(Fin_Analysis!C108="Dividend",Fin_Analysis!I103,Fin_Analysis!I106))</f>
        <v>5.9357497666306678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1402495</v>
      </c>
      <c r="D6" s="199">
        <f>IF(Inputs!D25="","",Inputs!D25)</f>
        <v>1324203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669001</v>
      </c>
      <c r="D8" s="198">
        <f>IF(Inputs!D26="","",Inputs!D26)</f>
        <v>567720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733494</v>
      </c>
      <c r="D9" s="150">
        <f t="shared" si="2"/>
        <v>756483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220152</v>
      </c>
      <c r="D10" s="198">
        <f>IF(Inputs!D27="","",Inputs!D27)</f>
        <v>219991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181.33333333333334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0.36602055622301682</v>
      </c>
      <c r="D13" s="226">
        <f t="shared" si="3"/>
        <v>0.40500638245545934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513342</v>
      </c>
      <c r="D14" s="227">
        <f t="shared" ref="D14:M14" si="4">IF(D6="","",D9-D10-MAX(D11,0)-MAX(D12,0))</f>
        <v>536310.66666666663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-4.282716733833368E-2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 t="str">
        <f>IF(Inputs!C29="","",Inputs!C29)</f>
        <v/>
      </c>
      <c r="D17" s="198" t="str">
        <f>IF(Inputs!D29="","",Inputs!D29)</f>
        <v/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513342</v>
      </c>
      <c r="D22" s="160">
        <f t="shared" ref="D22:M22" si="8">IF(D6="","",D14-MAX(D16,0)-MAX(D17,0)-ABS(MAX(D21,0)-MAX(D19,0)))</f>
        <v>536310.66666666663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0.27451541716726263</v>
      </c>
      <c r="D23" s="152">
        <f t="shared" si="9"/>
        <v>0.30375478684159452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-4.2827167338333749E-2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14687373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>
        <f>IF(Inputs!D35="","",Inputs!D35)</f>
        <v>213823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>
        <f>IF(Inputs!D36="","",Inputs!D36)</f>
        <v>8852611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>
        <f>IF(Inputs!D37="","",Inputs!D37)</f>
        <v>2466431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36209311</v>
      </c>
      <c r="D31" s="198">
        <f>IF(Inputs!D39="","",Inputs!D39)</f>
        <v>35175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>
        <f>IF(Inputs!D40="","",Inputs!D40)</f>
        <v>67759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36209311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>
        <f>IF(Inputs!D41="","",Inputs!D41)</f>
        <v>12220942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>
        <f>IF(Inputs!D42="","",Inputs!D42)</f>
        <v>-498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3475378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26926461</v>
      </c>
      <c r="D37" s="65">
        <f t="shared" ref="D37:M37" si="32">IF(D36="","",D27-D36)</f>
        <v>11211995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1.9064592261121876E-2</v>
      </c>
      <c r="D38" s="154">
        <f>IF(D6="","",D14/MAX(D37,0))</f>
        <v>4.7833651965298471E-2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0.47700776116848903</v>
      </c>
      <c r="D40" s="155">
        <f t="shared" si="34"/>
        <v>0.42872580714588321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0.15697168260849415</v>
      </c>
      <c r="D41" s="152">
        <f t="shared" si="35"/>
        <v>0.16613087268341786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</v>
      </c>
      <c r="D43" s="152">
        <f t="shared" si="37"/>
        <v>0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1.3693771523953151E-4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0.36602055622301682</v>
      </c>
      <c r="D46" s="152">
        <f t="shared" si="40"/>
        <v>0.40500638245545934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>
        <f t="shared" si="41"/>
        <v>9.0159281717704043E-2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>
        <f t="shared" si="42"/>
        <v>0.16147297657534382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>
        <f t="shared" si="43"/>
        <v>6.6852370822298397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>
        <f t="shared" si="45"/>
        <v>0.83210523760784183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1.4177071748203107E-2</v>
      </c>
      <c r="D54" s="156">
        <f t="shared" si="46"/>
        <v>5.2102382756588357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>
        <f t="shared" si="49"/>
        <v>4.3882772133780196E-2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>
        <f t="shared" si="50"/>
        <v>4.3882772133780196E-2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>Error!</v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1.0674328950978067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24292217.299999997</v>
      </c>
      <c r="E6" s="56" t="e">
        <f>1-D6/D3</f>
        <v>#DIV/0!</v>
      </c>
      <c r="F6" s="87"/>
      <c r="G6" s="87"/>
      <c r="H6" s="1" t="s">
        <v>26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103.79122785256416</v>
      </c>
      <c r="E7" s="11" t="str">
        <f>Dashboard!H3</f>
        <v>HKD</v>
      </c>
      <c r="H7" s="1" t="s">
        <v>27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3339708</v>
      </c>
      <c r="D11" s="197">
        <f>Inputs!D48</f>
        <v>0.9</v>
      </c>
      <c r="E11" s="88">
        <f t="shared" ref="E11:E22" si="0">C11*D11</f>
        <v>3005737.2</v>
      </c>
      <c r="F11" s="112"/>
      <c r="G11" s="87"/>
      <c r="H11" s="3" t="s">
        <v>35</v>
      </c>
      <c r="I11" s="40">
        <f>Inputs!C73</f>
        <v>33710837</v>
      </c>
      <c r="J11" s="87"/>
      <c r="K11" s="24"/>
    </row>
    <row r="12" spans="1:11" ht="13.9" x14ac:dyDescent="0.4">
      <c r="B12" s="1" t="s">
        <v>130</v>
      </c>
      <c r="C12" s="40">
        <f>Inputs!C49</f>
        <v>683021</v>
      </c>
      <c r="D12" s="197">
        <f>Inputs!D49</f>
        <v>0.8</v>
      </c>
      <c r="E12" s="88">
        <f t="shared" si="0"/>
        <v>546416.80000000005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2962684</v>
      </c>
      <c r="D14" s="197">
        <f>Inputs!D51</f>
        <v>0.6</v>
      </c>
      <c r="E14" s="88">
        <f t="shared" si="0"/>
        <v>1777610.4</v>
      </c>
      <c r="F14" s="112"/>
      <c r="G14" s="87"/>
      <c r="H14" s="86" t="s">
        <v>39</v>
      </c>
      <c r="I14" s="203">
        <f>Inputs!C76</f>
        <v>2498474</v>
      </c>
      <c r="J14" s="87"/>
      <c r="K14" s="27"/>
    </row>
    <row r="15" spans="1:11" ht="13.9" x14ac:dyDescent="0.4">
      <c r="B15" s="3" t="s">
        <v>40</v>
      </c>
      <c r="C15" s="40">
        <f>Inputs!C52</f>
        <v>6961515</v>
      </c>
      <c r="D15" s="197">
        <f>Inputs!D52</f>
        <v>0.5</v>
      </c>
      <c r="E15" s="88">
        <f t="shared" si="0"/>
        <v>3480757.5</v>
      </c>
      <c r="F15" s="112"/>
      <c r="G15" s="87"/>
      <c r="H15" s="1" t="s">
        <v>50</v>
      </c>
      <c r="I15" s="84">
        <f>SUM(I11:I14)</f>
        <v>36209311</v>
      </c>
      <c r="J15" s="87"/>
    </row>
    <row r="16" spans="1:11" ht="13.9" x14ac:dyDescent="0.4">
      <c r="B16" s="1" t="s">
        <v>150</v>
      </c>
      <c r="C16" s="40">
        <f>Inputs!C53</f>
        <v>25589624</v>
      </c>
      <c r="D16" s="197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51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52</v>
      </c>
      <c r="I25" s="63">
        <f>E28/I28</f>
        <v>0.65240299046589134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4">
        <f>Inputs!C77</f>
        <v>37038911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82672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21347</v>
      </c>
      <c r="D35" s="197">
        <f>Inputs!D65</f>
        <v>0.1</v>
      </c>
      <c r="E35" s="88">
        <f t="shared" si="1"/>
        <v>2134.7000000000003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4094</v>
      </c>
      <c r="D37" s="197">
        <f>Inputs!D67</f>
        <v>0.1</v>
      </c>
      <c r="E37" s="88">
        <f t="shared" si="1"/>
        <v>409.40000000000003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181735</v>
      </c>
      <c r="D38" s="197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5722</v>
      </c>
      <c r="D40" s="197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118797</v>
      </c>
      <c r="D41" s="197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343468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-37038911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77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81</v>
      </c>
      <c r="I48" s="281">
        <f>I49-I28</f>
        <v>-37038911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36209311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3422380</v>
      </c>
      <c r="D62" s="107">
        <f t="shared" si="2"/>
        <v>0.87825933999146799</v>
      </c>
      <c r="E62" s="117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-36209311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63135772</v>
      </c>
      <c r="D70" s="29">
        <f t="shared" si="2"/>
        <v>0.82734853547050946</v>
      </c>
      <c r="E70" s="68">
        <f>E68-E69</f>
        <v>52235288.5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1402495</v>
      </c>
      <c r="D74" s="206"/>
      <c r="E74" s="235">
        <f>Inputs!E91</f>
        <v>1402495</v>
      </c>
      <c r="F74" s="206"/>
      <c r="H74" s="235">
        <f>Inputs!F91</f>
        <v>1402495</v>
      </c>
      <c r="I74" s="206"/>
      <c r="K74" s="24"/>
    </row>
    <row r="75" spans="1:11" ht="15" customHeight="1" x14ac:dyDescent="0.4">
      <c r="B75" s="104" t="s">
        <v>102</v>
      </c>
      <c r="C75" s="77">
        <f>Data!C8</f>
        <v>669001</v>
      </c>
      <c r="D75" s="158">
        <f>C75/$C$74</f>
        <v>0.47700776116848903</v>
      </c>
      <c r="E75" s="235">
        <f>Inputs!E92</f>
        <v>669001</v>
      </c>
      <c r="F75" s="159">
        <f>E75/E74</f>
        <v>0.47700776116848903</v>
      </c>
      <c r="H75" s="235">
        <f>Inputs!F92</f>
        <v>669001</v>
      </c>
      <c r="I75" s="159">
        <f>H75/$H$74</f>
        <v>0.47700776116848903</v>
      </c>
      <c r="K75" s="24"/>
    </row>
    <row r="76" spans="1:11" ht="15" customHeight="1" x14ac:dyDescent="0.4">
      <c r="B76" s="35" t="s">
        <v>92</v>
      </c>
      <c r="C76" s="160">
        <f>C74-C75</f>
        <v>733494</v>
      </c>
      <c r="D76" s="207"/>
      <c r="E76" s="161">
        <f>E74-E75</f>
        <v>733494</v>
      </c>
      <c r="F76" s="207"/>
      <c r="H76" s="161">
        <f>H74-H75</f>
        <v>733494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220152</v>
      </c>
      <c r="D77" s="158">
        <f>C77/$C$74</f>
        <v>0.15697168260849415</v>
      </c>
      <c r="E77" s="235">
        <f>Inputs!E93</f>
        <v>220152</v>
      </c>
      <c r="F77" s="159">
        <f>E77/E74</f>
        <v>0.15697168260849415</v>
      </c>
      <c r="H77" s="235">
        <f>Inputs!F93</f>
        <v>220152</v>
      </c>
      <c r="I77" s="159">
        <f>H77/$H$74</f>
        <v>0.15697168260849415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513342</v>
      </c>
      <c r="D79" s="255">
        <f>C79/C74</f>
        <v>0.36602055622301682</v>
      </c>
      <c r="E79" s="256">
        <f>E76-E77-E78</f>
        <v>513342</v>
      </c>
      <c r="F79" s="255">
        <f>E79/E74</f>
        <v>0.36602055622301682</v>
      </c>
      <c r="G79" s="257"/>
      <c r="H79" s="256">
        <f>H76-H77-H78</f>
        <v>513342</v>
      </c>
      <c r="I79" s="255">
        <f>H79/H74</f>
        <v>0.36602055622301682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513342</v>
      </c>
      <c r="D83" s="163">
        <f>C83/$C$74</f>
        <v>0.36602055622301682</v>
      </c>
      <c r="E83" s="164">
        <f>E79-E81-E82-E80</f>
        <v>513342</v>
      </c>
      <c r="F83" s="163">
        <f>E83/E74</f>
        <v>0.36602055622301682</v>
      </c>
      <c r="H83" s="164">
        <f>H79-H81-H82-H80</f>
        <v>513342</v>
      </c>
      <c r="I83" s="163">
        <f>H83/$H$74</f>
        <v>0.36602055622301682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385006.5</v>
      </c>
      <c r="D85" s="255">
        <f>C85/$C$74</f>
        <v>0.27451541716726263</v>
      </c>
      <c r="E85" s="261">
        <f>E83*(1-F84)</f>
        <v>385006.5</v>
      </c>
      <c r="F85" s="255">
        <f>E85/E74</f>
        <v>0.27451541716726263</v>
      </c>
      <c r="G85" s="257"/>
      <c r="H85" s="261">
        <f>H83*(1-I84)</f>
        <v>385006.5</v>
      </c>
      <c r="I85" s="255">
        <f>H85/$H$74</f>
        <v>0.27451541716726263</v>
      </c>
      <c r="K85" s="24"/>
    </row>
    <row r="86" spans="1:11" ht="15" customHeight="1" x14ac:dyDescent="0.4">
      <c r="B86" s="87" t="s">
        <v>152</v>
      </c>
      <c r="C86" s="166">
        <f>C85*Data!C4/Common_Shares</f>
        <v>1.5399583805137493</v>
      </c>
      <c r="D86" s="206"/>
      <c r="E86" s="167">
        <f>E85*Data!C4/Common_Shares</f>
        <v>1.5399583805137493</v>
      </c>
      <c r="F86" s="206"/>
      <c r="H86" s="167">
        <f>H85*Data!C4/Common_Shares</f>
        <v>1.5399583805137493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0.26319736480353811</v>
      </c>
      <c r="D87" s="206"/>
      <c r="E87" s="259">
        <f>E86*Exchange_Rate/Dashboard!G3</f>
        <v>0.26319736480353811</v>
      </c>
      <c r="F87" s="206"/>
      <c r="H87" s="259">
        <f>H86*Exchange_Rate/Dashboard!G3</f>
        <v>0.26319736480353811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0.59699999999999998</v>
      </c>
      <c r="D88" s="165">
        <f>C88/C86</f>
        <v>0.38767281476843118</v>
      </c>
      <c r="E88" s="169">
        <f>Inputs!E98</f>
        <v>0.4</v>
      </c>
      <c r="F88" s="165">
        <f>E88/E86</f>
        <v>0.2597472795768383</v>
      </c>
      <c r="H88" s="169">
        <f>Inputs!F98</f>
        <v>0.4</v>
      </c>
      <c r="I88" s="165">
        <f>H88/H86</f>
        <v>0.2597472795768383</v>
      </c>
      <c r="K88" s="24"/>
    </row>
    <row r="89" spans="1:11" ht="15" customHeight="1" x14ac:dyDescent="0.4">
      <c r="B89" s="87" t="s">
        <v>206</v>
      </c>
      <c r="C89" s="258">
        <f>C88*Exchange_Rate/Dashboard!G3</f>
        <v>0.10203446325302125</v>
      </c>
      <c r="D89" s="206"/>
      <c r="E89" s="258">
        <f>E88*Exchange_Rate/Dashboard!G3</f>
        <v>6.8364799499511728E-2</v>
      </c>
      <c r="F89" s="206"/>
      <c r="H89" s="258">
        <f>H88*Exchange_Rate/Dashboard!G3</f>
        <v>6.8364799499511728E-2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79.860445112979093</v>
      </c>
      <c r="H93" s="87" t="s">
        <v>195</v>
      </c>
      <c r="I93" s="143">
        <f>FV(H87,D93,0,-(H86/(C93-D94)))*Exchange_Rate</f>
        <v>79.860445112979093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8.9768616383147375</v>
      </c>
      <c r="H94" s="87" t="s">
        <v>196</v>
      </c>
      <c r="I94" s="143">
        <f>FV(H89,D93,0,-(H88/(C93-D94)))*Exchange_Rate</f>
        <v>8.9768616383147375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9926624.7035811283</v>
      </c>
      <c r="D97" s="210"/>
      <c r="E97" s="122">
        <f>PV(C94,D93,0,-F93)</f>
        <v>39.704755380739215</v>
      </c>
      <c r="F97" s="210"/>
      <c r="H97" s="122">
        <f>PV(C94,D93,0,-I93)</f>
        <v>39.704755380739215</v>
      </c>
      <c r="I97" s="122">
        <f>PV(C93,D93,0,-I93)</f>
        <v>52.805940153866374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-29848788.437321566</v>
      </c>
      <c r="D99" s="211"/>
      <c r="E99" s="144">
        <f>IF(H99&gt;0,H99*(1-C94),H99*(1+C94))</f>
        <v>-137.29839804670968</v>
      </c>
      <c r="F99" s="211"/>
      <c r="H99" s="144">
        <f>C99*Data!$C$4/Common_Shares</f>
        <v>-119.38991134496494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-19922163.733740438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1115820.6841128974</v>
      </c>
      <c r="D103" s="109">
        <f>MIN(F103*(1-C94),E103)</f>
        <v>3.7936237481775117</v>
      </c>
      <c r="E103" s="122">
        <f>PV(C94,D93,0,-F94)</f>
        <v>4.4630867625617787</v>
      </c>
      <c r="F103" s="109">
        <f>(E103+H103)/2</f>
        <v>4.4630867625617787</v>
      </c>
      <c r="H103" s="122">
        <f>PV(C94,D93,0,-I94)</f>
        <v>4.4630867625617787</v>
      </c>
      <c r="I103" s="109">
        <f>PV(C93,D93,0,-I94)</f>
        <v>5.9357497666306678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557910.34205644869</v>
      </c>
      <c r="D106" s="109">
        <f>(D100+D103)/2</f>
        <v>1.8968118740887558</v>
      </c>
      <c r="E106" s="122">
        <f>(E100+E103)/2</f>
        <v>2.2315433812808894</v>
      </c>
      <c r="F106" s="109">
        <f>(F100+F103)/2</f>
        <v>2.2315433812808894</v>
      </c>
      <c r="H106" s="122">
        <f>(H100+H103)/2</f>
        <v>2.2315433812808894</v>
      </c>
      <c r="I106" s="122">
        <f>(I100+I103)/2</f>
        <v>2.9678748833153339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