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0B3843-5608-4D3D-BB5F-F6A94B2212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E92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<sst xmlns="http://schemas.openxmlformats.org/spreadsheetml/2006/main" count="392" uniqueCount="275">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</sst>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3922514513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98624041</v>
      </c>
      <c r="D25" s="148">
        <v>92593322</v>
      </c>
      <c r="E25" s="148">
        <v>88141475</v>
      </c>
      <c r="F25" s="148">
        <v>76034844</v>
      </c>
      <c r="G25" s="148">
        <v>0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61983946</v>
      </c>
      <c r="D26" s="149">
        <v>59903540</v>
      </c>
      <c r="E26" s="149">
        <v>55751561</v>
      </c>
      <c r="F26" s="149">
        <v>47405564</v>
      </c>
      <c r="G26" s="149">
        <v>0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29934742</v>
      </c>
      <c r="D27" s="149">
        <v>26789160</v>
      </c>
      <c r="E27" s="149">
        <v>27011976</v>
      </c>
      <c r="F27" s="149">
        <v>24673872</v>
      </c>
      <c r="G27" s="149">
        <v>0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1569281</v>
      </c>
      <c r="D29" s="149">
        <v>1125263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77778</v>
      </c>
      <c r="D30" s="149">
        <v>118168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0.48899999999999999</v>
      </c>
      <c r="D44" s="247">
        <v>0.40200000000000002</v>
      </c>
      <c r="E44" s="247">
        <v>0.38100000000000001</v>
      </c>
      <c r="F44" s="247">
        <v>0.26800000000000002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2.9645277876047482E-2</v>
      </c>
      <c r="D45" s="151">
        <f>IF(D44="","",D44*Exchange_Rate/Dashboard!$G$3)</f>
        <v>2.4370964634296707E-2</v>
      </c>
      <c r="E45" s="151">
        <f>IF(E44="","",E44*Exchange_Rate/Dashboard!$G$3)</f>
        <v>2.3097854541460308E-2</v>
      </c>
      <c r="F45" s="151">
        <f>IF(F44="","",F44*Exchange_Rate/Dashboard!$G$3)</f>
        <v>1.6247309756197804E-2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98624041</v>
      </c>
      <c r="D91" s="206"/>
      <c r="E91" s="248">
        <f>C91</f>
        <v>98624041</v>
      </c>
      <c r="F91" s="248">
        <f>C91</f>
        <v>98624041</v>
      </c>
    </row>
    <row r="92" spans="2:8" ht="13.9" x14ac:dyDescent="0.4">
      <c r="B92" s="104" t="s">
        <v>102</v>
      </c>
      <c r="C92" s="77">
        <f>C26</f>
        <v>61983946</v>
      </c>
      <c r="D92" s="158">
        <f>C92/C91</f>
        <v>0.6284871859996084</v>
      </c>
      <c r="E92" s="249">
        <f>E91*D92</f>
        <v>61983946.000000007</v>
      </c>
      <c r="F92" s="249">
        <f>F91*D92</f>
        <v>61983946.000000007</v>
      </c>
    </row>
    <row r="93" spans="2:8" ht="13.9" x14ac:dyDescent="0.4">
      <c r="B93" s="104" t="s">
        <v>230</v>
      </c>
      <c r="C93" s="77">
        <f>C27+C28</f>
        <v>29934742</v>
      </c>
      <c r="D93" s="158">
        <f>C93/C91</f>
        <v>0.30352378280666881</v>
      </c>
      <c r="E93" s="249">
        <f>E91*D93</f>
        <v>29934742</v>
      </c>
      <c r="F93" s="249">
        <f>F91*D93</f>
        <v>29934742</v>
      </c>
    </row>
    <row r="94" spans="2:8" ht="13.9" x14ac:dyDescent="0.4">
      <c r="B94" s="104" t="s">
        <v>239</v>
      </c>
      <c r="C94" s="77">
        <f>C29</f>
        <v>1569281</v>
      </c>
      <c r="D94" s="158">
        <f>C94/C91</f>
        <v>1.5911749144409931E-2</v>
      </c>
      <c r="E94" s="250"/>
      <c r="F94" s="249">
        <f>F91*D94</f>
        <v>1569281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103704</v>
      </c>
      <c r="D97" s="158">
        <f>C97/C91</f>
        <v>1.0515083234117328E-3</v>
      </c>
      <c r="E97" s="250"/>
      <c r="F97" s="249">
        <f>F91*D97</f>
        <v>103703.99999999999</v>
      </c>
    </row>
    <row r="98" spans="2:7" ht="13.9" x14ac:dyDescent="0.4">
      <c r="B98" s="86" t="s">
        <v>193</v>
      </c>
      <c r="C98" s="234">
        <f>C44</f>
        <v>0.48899999999999999</v>
      </c>
      <c r="D98" s="263"/>
      <c r="E98" s="251">
        <f>F98</f>
        <v>0.48899999999999999</v>
      </c>
      <c r="F98" s="251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2319.HK</v>
      </c>
      <c r="D3" s="290"/>
      <c r="E3" s="87"/>
      <c r="F3" s="3" t="s">
        <v>1</v>
      </c>
      <c r="G3" s="131">
        <v>17.62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蒙牛乳業</v>
      </c>
      <c r="D4" s="292"/>
      <c r="E4" s="87"/>
      <c r="F4" s="3" t="s">
        <v>2</v>
      </c>
      <c r="G4" s="295">
        <f>Inputs!C10</f>
        <v>3922514513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69114.705719060003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C0002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6.69375228703111E-2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1.5911749144409931E-2</v>
      </c>
      <c r="F24" s="139" t="s">
        <v>242</v>
      </c>
      <c r="G24" s="265">
        <f>G3/(Fin_Analysis!H86*G7)</f>
        <v>17.142897848709858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0.50820597032570036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2.9645277876047482E-2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8.7051768507516698</v>
      </c>
      <c r="D29" s="128">
        <f>G29*(1+G20)</f>
        <v>15.663786955130739</v>
      </c>
      <c r="E29" s="87"/>
      <c r="F29" s="130">
        <f>IF(Fin_Analysis!C108="Profit",Fin_Analysis!F100,IF(Fin_Analysis!C108="Dividend",Fin_Analysis!F103,Fin_Analysis!F106))</f>
        <v>10.241384530296083</v>
      </c>
      <c r="G29" s="286">
        <f>IF(Fin_Analysis!C108="Profit",Fin_Analysis!I100,IF(Fin_Analysis!C108="Dividend",Fin_Analysis!I103,Fin_Analysis!I106))</f>
        <v>13.62068430880934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6601649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98624041</v>
      </c>
      <c r="D6" s="199">
        <f>IF(Inputs!D25="","",Inputs!D25)</f>
        <v>92593322</v>
      </c>
      <c r="E6" s="199">
        <f>IF(Inputs!E25="","",Inputs!E25)</f>
        <v>88141475</v>
      </c>
      <c r="F6" s="199">
        <f>IF(Inputs!F25="","",Inputs!F25)</f>
        <v>76034844</v>
      </c>
      <c r="G6" s="199">
        <f>IF(Inputs!G25="","",Inputs!G25)</f>
        <v>0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6.5131252122048178E-2</v>
      </c>
      <c r="D7" s="92">
        <f t="shared" si="1"/>
        <v>5.0507970283002468E-2</v>
      </c>
      <c r="E7" s="92">
        <f t="shared" si="1"/>
        <v>0.15922477594614382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61983946</v>
      </c>
      <c r="D8" s="198">
        <f>IF(Inputs!D26="","",Inputs!D26)</f>
        <v>59903540</v>
      </c>
      <c r="E8" s="198">
        <f>IF(Inputs!E26="","",Inputs!E26)</f>
        <v>55751561</v>
      </c>
      <c r="F8" s="198">
        <f>IF(Inputs!F26="","",Inputs!F26)</f>
        <v>47405564</v>
      </c>
      <c r="G8" s="198">
        <f>IF(Inputs!G26="","",Inputs!G26)</f>
        <v>0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36640095</v>
      </c>
      <c r="D9" s="150">
        <f t="shared" si="2"/>
        <v>32689782</v>
      </c>
      <c r="E9" s="150">
        <f t="shared" si="2"/>
        <v>32389914</v>
      </c>
      <c r="F9" s="150">
        <f t="shared" si="2"/>
        <v>28629280</v>
      </c>
      <c r="G9" s="150">
        <f t="shared" si="2"/>
        <v>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29934742</v>
      </c>
      <c r="D10" s="198">
        <f>IF(Inputs!D27="","",Inputs!D27)</f>
        <v>26789160</v>
      </c>
      <c r="E10" s="198">
        <f>IF(Inputs!E27="","",Inputs!E27)</f>
        <v>27011976</v>
      </c>
      <c r="F10" s="198">
        <f>IF(Inputs!F27="","",Inputs!F27)</f>
        <v>24673872</v>
      </c>
      <c r="G10" s="198">
        <f>IF(Inputs!G27="","",Inputs!G27)</f>
        <v>0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103704</v>
      </c>
      <c r="D12" s="198">
        <f>IF(Inputs!D30="","",MAX(Inputs!D30,0)/(1-Fin_Analysis!$I$84))</f>
        <v>157557.33333333334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6.69375228703111E-2</v>
      </c>
      <c r="D13" s="226">
        <f t="shared" si="3"/>
        <v>6.2024609794933884E-2</v>
      </c>
      <c r="E13" s="226">
        <f t="shared" si="3"/>
        <v>6.1014840062524479E-2</v>
      </c>
      <c r="F13" s="226">
        <f t="shared" si="3"/>
        <v>5.2020991849473647E-2</v>
      </c>
      <c r="G13" s="226" t="e">
        <f t="shared" si="3"/>
        <v>#DIV/0!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6601649</v>
      </c>
      <c r="D14" s="227">
        <f t="shared" ref="D14:M14" si="4">IF(D6="","",D9-D10-MAX(D11,0)-MAX(D12,0))</f>
        <v>5743064.666666667</v>
      </c>
      <c r="E14" s="227">
        <f t="shared" si="4"/>
        <v>5377938</v>
      </c>
      <c r="F14" s="227">
        <f t="shared" si="4"/>
        <v>3955408</v>
      </c>
      <c r="G14" s="227">
        <f t="shared" si="4"/>
        <v>0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0.14949933235414256</v>
      </c>
      <c r="D15" s="229">
        <f t="shared" ref="D15:M15" si="5">IF(E14="","",IF(ABS(D14+E14)=ABS(D14)+ABS(E14),IF(D14&lt;0,-1,1)*(D14-E14)/E14,"Turn"))</f>
        <v>6.7893431770070053E-2</v>
      </c>
      <c r="E15" s="229">
        <f t="shared" si="5"/>
        <v>0.35964178663743412</v>
      </c>
      <c r="F15" s="229" t="e">
        <f t="shared" si="5"/>
        <v>#DIV/0!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1569281</v>
      </c>
      <c r="D17" s="198">
        <f>IF(Inputs!D29="","",Inputs!D29)</f>
        <v>1125263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e">
        <f t="shared" si="7"/>
        <v>#DIV/0!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5032368</v>
      </c>
      <c r="D22" s="160">
        <f t="shared" ref="D22:M22" si="8">IF(D6="","",D14-MAX(D16,0)-MAX(D17,0)-ABS(MAX(D21,0)-MAX(D19,0)))</f>
        <v>4617801.666666667</v>
      </c>
      <c r="E22" s="160">
        <f t="shared" si="8"/>
        <v>5377938</v>
      </c>
      <c r="F22" s="160">
        <f t="shared" si="8"/>
        <v>3955408</v>
      </c>
      <c r="G22" s="160">
        <f t="shared" si="8"/>
        <v>0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3.8269330294425877E-2</v>
      </c>
      <c r="D23" s="152">
        <f t="shared" si="9"/>
        <v>3.7403898847046445E-2</v>
      </c>
      <c r="E23" s="152">
        <f t="shared" si="9"/>
        <v>4.5761130046893361E-2</v>
      </c>
      <c r="F23" s="152">
        <f t="shared" si="9"/>
        <v>3.9015743887105235E-2</v>
      </c>
      <c r="G23" s="152" t="e">
        <f t="shared" si="9"/>
        <v>#DIV/0!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8.9775690525181348E-2</v>
      </c>
      <c r="D25" s="230">
        <f t="shared" ref="D25:M25" si="10">IF(E24="","",IF(ABS(D24+E24)=ABS(D24)+ABS(E24),IF(D24&lt;0,-1,1)*(D24-E24)/E24,"Turn"))</f>
        <v>-0.14134345418882355</v>
      </c>
      <c r="E25" s="230">
        <f t="shared" si="10"/>
        <v>0.35964178663743412</v>
      </c>
      <c r="F25" s="230" t="e">
        <f t="shared" si="10"/>
        <v>#DIV/0!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0.6284871859996084</v>
      </c>
      <c r="D40" s="155">
        <f t="shared" si="34"/>
        <v>0.64695313556197931</v>
      </c>
      <c r="E40" s="155">
        <f t="shared" si="34"/>
        <v>0.63252357644343937</v>
      </c>
      <c r="F40" s="155">
        <f t="shared" si="34"/>
        <v>0.6234715757423005</v>
      </c>
      <c r="G40" s="155" t="e">
        <f t="shared" si="34"/>
        <v>#DIV/0!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0.30352378280666881</v>
      </c>
      <c r="D41" s="152">
        <f t="shared" si="35"/>
        <v>0.28932064884765663</v>
      </c>
      <c r="E41" s="152">
        <f t="shared" si="35"/>
        <v>0.30646158349403613</v>
      </c>
      <c r="F41" s="152">
        <f t="shared" si="35"/>
        <v>0.32450743240822588</v>
      </c>
      <c r="G41" s="152" t="e">
        <f t="shared" si="35"/>
        <v>#DIV/0!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e">
        <f t="shared" si="36"/>
        <v>#DIV/0!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1.5911749144409931E-2</v>
      </c>
      <c r="D43" s="152">
        <f t="shared" si="37"/>
        <v>1.2152744665538623E-2</v>
      </c>
      <c r="E43" s="152">
        <f t="shared" si="37"/>
        <v>0</v>
      </c>
      <c r="F43" s="152">
        <f t="shared" si="37"/>
        <v>0</v>
      </c>
      <c r="G43" s="152" t="e">
        <f t="shared" si="37"/>
        <v>#DIV/0!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1.0515083234117328E-3</v>
      </c>
      <c r="D44" s="152">
        <f t="shared" si="38"/>
        <v>1.701605795430186E-3</v>
      </c>
      <c r="E44" s="152">
        <f t="shared" si="38"/>
        <v>0</v>
      </c>
      <c r="F44" s="152">
        <f t="shared" si="38"/>
        <v>0</v>
      </c>
      <c r="G44" s="152" t="e">
        <f t="shared" si="38"/>
        <v>#DIV/0!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e">
        <f t="shared" si="39"/>
        <v>#DIV/0!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5.1025773725901176E-2</v>
      </c>
      <c r="D46" s="152">
        <f t="shared" si="40"/>
        <v>4.987186512939526E-2</v>
      </c>
      <c r="E46" s="152">
        <f t="shared" si="40"/>
        <v>6.1014840062524479E-2</v>
      </c>
      <c r="F46" s="152">
        <f t="shared" si="40"/>
        <v>5.2020991849473647E-2</v>
      </c>
      <c r="G46" s="152" t="e">
        <f t="shared" si="40"/>
        <v>#DIV/0!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0.31183748883229523</v>
      </c>
      <c r="D55" s="152">
        <f t="shared" si="47"/>
        <v>0.24367936980114274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>-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98624041</v>
      </c>
      <c r="D74" s="206"/>
      <c r="E74" s="235">
        <f>Inputs!E91</f>
        <v>98624041</v>
      </c>
      <c r="F74" s="206"/>
      <c r="H74" s="235">
        <f>Inputs!F91</f>
        <v>98624041</v>
      </c>
      <c r="I74" s="206"/>
      <c r="K74" s="24"/>
    </row>
    <row r="75" spans="1:11" ht="15" customHeight="1" x14ac:dyDescent="0.4">
      <c r="B75" s="104" t="s">
        <v>102</v>
      </c>
      <c r="C75" s="77">
        <f>Data!C8</f>
        <v>61983946</v>
      </c>
      <c r="D75" s="158">
        <f>C75/$C$74</f>
        <v>0.6284871859996084</v>
      </c>
      <c r="E75" s="235">
        <f>Inputs!E92</f>
        <v>61983946.000000007</v>
      </c>
      <c r="F75" s="159">
        <f>E75/E74</f>
        <v>0.6284871859996084</v>
      </c>
      <c r="H75" s="235">
        <f>Inputs!F92</f>
        <v>61983946.000000007</v>
      </c>
      <c r="I75" s="159">
        <f>H75/$H$74</f>
        <v>0.6284871859996084</v>
      </c>
      <c r="K75" s="24"/>
    </row>
    <row r="76" spans="1:11" ht="15" customHeight="1" x14ac:dyDescent="0.4">
      <c r="B76" s="35" t="s">
        <v>92</v>
      </c>
      <c r="C76" s="160">
        <f>C74-C75</f>
        <v>36640095</v>
      </c>
      <c r="D76" s="207"/>
      <c r="E76" s="161">
        <f>E74-E75</f>
        <v>36640094.999999993</v>
      </c>
      <c r="F76" s="207"/>
      <c r="H76" s="161">
        <f>H74-H75</f>
        <v>36640094.999999993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29934742</v>
      </c>
      <c r="D77" s="158">
        <f>C77/$C$74</f>
        <v>0.30352378280666881</v>
      </c>
      <c r="E77" s="235">
        <f>Inputs!E93</f>
        <v>29934742</v>
      </c>
      <c r="F77" s="159">
        <f>E77/E74</f>
        <v>0.30352378280666881</v>
      </c>
      <c r="H77" s="235">
        <f>Inputs!F93</f>
        <v>29934742</v>
      </c>
      <c r="I77" s="159">
        <f>H77/$H$74</f>
        <v>0.30352378280666881</v>
      </c>
      <c r="K77" s="24"/>
    </row>
    <row r="78" spans="1:11" ht="15" customHeight="1" x14ac:dyDescent="0.4">
      <c r="B78" s="73" t="s">
        <v>161</v>
      </c>
      <c r="C78" s="77">
        <f>MAX(Data!C12,0)</f>
        <v>103704</v>
      </c>
      <c r="D78" s="158">
        <f>C78/$C$74</f>
        <v>1.0515083234117328E-3</v>
      </c>
      <c r="E78" s="179">
        <f>E74*F78</f>
        <v>103703.99999999999</v>
      </c>
      <c r="F78" s="159">
        <f>I78</f>
        <v>1.0515083234117328E-3</v>
      </c>
      <c r="H78" s="235">
        <f>Inputs!F97</f>
        <v>103703.99999999999</v>
      </c>
      <c r="I78" s="159">
        <f>H78/$H$74</f>
        <v>1.0515083234117328E-3</v>
      </c>
      <c r="K78" s="24"/>
    </row>
    <row r="79" spans="1:11" ht="15" customHeight="1" x14ac:dyDescent="0.4">
      <c r="B79" s="253" t="s">
        <v>217</v>
      </c>
      <c r="C79" s="254">
        <f>C76-C77-C78</f>
        <v>6601649</v>
      </c>
      <c r="D79" s="255">
        <f>C79/C74</f>
        <v>6.69375228703111E-2</v>
      </c>
      <c r="E79" s="256">
        <f>E76-E77-E78</f>
        <v>6601648.9999999925</v>
      </c>
      <c r="F79" s="255">
        <f>E79/E74</f>
        <v>6.6937522870311031E-2</v>
      </c>
      <c r="G79" s="257"/>
      <c r="H79" s="256">
        <f>H76-H77-H78</f>
        <v>6601648.9999999925</v>
      </c>
      <c r="I79" s="255">
        <f>H79/H74</f>
        <v>6.6937522870311031E-2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1569281</v>
      </c>
      <c r="D81" s="158">
        <f>C81/$C$74</f>
        <v>1.5911749144409931E-2</v>
      </c>
      <c r="E81" s="179">
        <f>E74*F81</f>
        <v>1569281</v>
      </c>
      <c r="F81" s="159">
        <f>I81</f>
        <v>1.5911749144409931E-2</v>
      </c>
      <c r="H81" s="235">
        <f>Inputs!F94</f>
        <v>1569281</v>
      </c>
      <c r="I81" s="159">
        <f>H81/$H$74</f>
        <v>1.5911749144409931E-2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5032368</v>
      </c>
      <c r="D83" s="163">
        <f>C83/$C$74</f>
        <v>5.1025773725901176E-2</v>
      </c>
      <c r="E83" s="164">
        <f>E79-E81-E82-E80</f>
        <v>5032367.9999999925</v>
      </c>
      <c r="F83" s="163">
        <f>E83/E74</f>
        <v>5.10257737259011E-2</v>
      </c>
      <c r="H83" s="164">
        <f>H79-H81-H82-H80</f>
        <v>5032367.9999999925</v>
      </c>
      <c r="I83" s="163">
        <f>H83/$H$74</f>
        <v>5.10257737259011E-2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3774276</v>
      </c>
      <c r="D85" s="255">
        <f>C85/$C$74</f>
        <v>3.8269330294425877E-2</v>
      </c>
      <c r="E85" s="261">
        <f>E83*(1-F84)</f>
        <v>3774275.9999999944</v>
      </c>
      <c r="F85" s="255">
        <f>E85/E74</f>
        <v>3.8269330294425821E-2</v>
      </c>
      <c r="G85" s="257"/>
      <c r="H85" s="261">
        <f>H83*(1-I84)</f>
        <v>3774275.9999999944</v>
      </c>
      <c r="I85" s="255">
        <f>H85/$H$74</f>
        <v>3.8269330294425821E-2</v>
      </c>
      <c r="K85" s="24"/>
    </row>
    <row r="86" spans="1:11" ht="15" customHeight="1" x14ac:dyDescent="0.4">
      <c r="B86" s="87" t="s">
        <v>152</v>
      </c>
      <c r="C86" s="166">
        <f>C85*Data!C4/Common_Shares</f>
        <v>0.96220829457514867</v>
      </c>
      <c r="D86" s="206"/>
      <c r="E86" s="167">
        <f>E85*Data!C4/Common_Shares</f>
        <v>0.96220829457514723</v>
      </c>
      <c r="F86" s="206"/>
      <c r="H86" s="167">
        <f>H85*Data!C4/Common_Shares</f>
        <v>0.96220829457514723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5.8333194820691277E-2</v>
      </c>
      <c r="D87" s="206"/>
      <c r="E87" s="259">
        <f>E86*Exchange_Rate/Dashboard!G3</f>
        <v>5.8333194820691187E-2</v>
      </c>
      <c r="F87" s="206"/>
      <c r="H87" s="259">
        <f>H86*Exchange_Rate/Dashboard!G3</f>
        <v>5.8333194820691187E-2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0.48899999999999999</v>
      </c>
      <c r="D88" s="165">
        <f>C88/C86</f>
        <v>0.50820597032569959</v>
      </c>
      <c r="E88" s="169">
        <f>Inputs!E98</f>
        <v>0.48899999999999999</v>
      </c>
      <c r="F88" s="165">
        <f>E88/E86</f>
        <v>0.50820597032570036</v>
      </c>
      <c r="H88" s="169">
        <f>Inputs!F98</f>
        <v>0.48899999999999999</v>
      </c>
      <c r="I88" s="165">
        <f>H88/H86</f>
        <v>0.50820597032570036</v>
      </c>
      <c r="K88" s="24"/>
    </row>
    <row r="89" spans="1:11" ht="15" customHeight="1" x14ac:dyDescent="0.4">
      <c r="B89" s="87" t="s">
        <v>206</v>
      </c>
      <c r="C89" s="258">
        <f>C88*Exchange_Rate/Dashboard!G3</f>
        <v>2.9645277876047482E-2</v>
      </c>
      <c r="D89" s="206"/>
      <c r="E89" s="258">
        <f>E88*Exchange_Rate/Dashboard!G3</f>
        <v>2.9645277876047482E-2</v>
      </c>
      <c r="F89" s="206"/>
      <c r="H89" s="258">
        <f>H88*Exchange_Rate/Dashboard!G3</f>
        <v>2.9645277876047482E-2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20.59908238496233</v>
      </c>
      <c r="H93" s="87" t="s">
        <v>195</v>
      </c>
      <c r="I93" s="143">
        <f>FV(H87,D93,0,-(H86/(C93-D94)))*Exchange_Rate</f>
        <v>20.59908238496233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9.1245973163609477</v>
      </c>
      <c r="H94" s="87" t="s">
        <v>196</v>
      </c>
      <c r="I94" s="143">
        <f>FV(H89,D93,0,-(H88/(C93-D94)))*Exchange_Rate</f>
        <v>9.1245973163609477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40171979.453300074</v>
      </c>
      <c r="D97" s="210"/>
      <c r="E97" s="122">
        <f>PV(C94,D93,0,-F93)</f>
        <v>10.241384530296083</v>
      </c>
      <c r="F97" s="210"/>
      <c r="H97" s="122">
        <f>PV(C94,D93,0,-I93)</f>
        <v>10.241384530296083</v>
      </c>
      <c r="I97" s="122">
        <f>PV(C93,D93,0,-I93)</f>
        <v>13.62068430880934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40171979.453300074</v>
      </c>
      <c r="D100" s="109">
        <f>MIN(F100*(1-C94),E100)</f>
        <v>8.7051768507516698</v>
      </c>
      <c r="E100" s="109">
        <f>MAX(E97+H98+E99,0)</f>
        <v>10.241384530296083</v>
      </c>
      <c r="F100" s="109">
        <f>(E100+H100)/2</f>
        <v>10.241384530296083</v>
      </c>
      <c r="H100" s="109">
        <f>MAX(C100*Data!$C$4/Common_Shares,0)</f>
        <v>10.241384530296083</v>
      </c>
      <c r="I100" s="109">
        <f>MAX(I97+H98+H99,0)</f>
        <v>13.62068430880934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17794634.200797155</v>
      </c>
      <c r="D103" s="109">
        <f>MIN(F103*(1-C94),E103)</f>
        <v>3.8560568789608918</v>
      </c>
      <c r="E103" s="122">
        <f>PV(C94,D93,0,-F94)</f>
        <v>4.536537504659873</v>
      </c>
      <c r="F103" s="109">
        <f>(E103+H103)/2</f>
        <v>4.536537504659873</v>
      </c>
      <c r="H103" s="122">
        <f>PV(C94,D93,0,-I94)</f>
        <v>4.536537504659873</v>
      </c>
      <c r="I103" s="109">
        <f>PV(C93,D93,0,-I94)</f>
        <v>6.0334366923980163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28983306.827048618</v>
      </c>
      <c r="D106" s="109">
        <f>(D100+D103)/2</f>
        <v>6.280616864856281</v>
      </c>
      <c r="E106" s="122">
        <f>(E100+E103)/2</f>
        <v>7.3889610174779783</v>
      </c>
      <c r="F106" s="109">
        <f>(F100+F103)/2</f>
        <v>7.3889610174779783</v>
      </c>
      <c r="H106" s="122">
        <f>(H100+H103)/2</f>
        <v>7.3889610174779783</v>
      </c>
      <c r="I106" s="122">
        <f>(I100+I103)/2</f>
        <v>9.8270605006036789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