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E2D1602-6543-4C9E-83BE-A10BE4671A9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<sst xmlns="http://schemas.openxmlformats.org/spreadsheetml/2006/main" count="392" uniqueCount="276">
  <si>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</si>
  <si>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</si>
  <si>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</si>
  <si>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</si>
  <si>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</si>
  <si>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</si>
  <si>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</si>
  <si>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</si>
  <si>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</si>
  <si>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</si>
  <si>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</si>
  <si>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</si>
  <si>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</si>
  <si>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</si>
  <si>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</si>
  <si>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</si>
  <si>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</si>
  <si>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</si>
  <si>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</si>
  <si>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</si>
  <si>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</si>
  <si>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</si>
  <si>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</si>
  <si>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</si>
  <si>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</si>
  <si>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</si>
  <si>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</si>
  <si>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</si>
  <si>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</si>
  <si>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</si>
  <si>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</si>
  <si>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</si>
  <si>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</si>
  <si>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</si>
  <si>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</si>
  <si>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</si>
  <si>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</si>
  <si>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</si>
  <si>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</si>
  <si>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</si>
  <si>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</si>
  <si>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</si>
  <si>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</si>
  <si>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</si>
  <si>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</si>
  <si>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</si>
  <si>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</si>
  <si>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</si>
  <si>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</si>
  <si>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</si>
  <si>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</si>
  <si>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</si>
  <si>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</si>
  <si>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</si>
  <si>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</si>
  <si>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</si>
  <si>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</si>
  <si>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</si>
  <si>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</si>
  <si>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</si>
  <si>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</si>
  <si>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</si>
  <si>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</si>
  <si>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</si>
  <si>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</si>
  <si>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</si>
  <si>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</si>
  <si>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</si>
  <si>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</si>
  <si>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</si>
  <si>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</si>
  <si>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</si>
  <si>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</si>
  <si>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</si>
  <si>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</si>
  <si>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</si>
  <si>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</si>
  <si>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</si>
  <si>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</si>
  <si>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</si>
  <si>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</si>
  <si>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</si>
  <si>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</si>
  <si>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</si>
  <si>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</si>
  <si>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</si>
  <si>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</si>
  <si>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</si>
  <si>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</si>
  <si>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</si>
  <si>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</si>
  <si>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</si>
  <si>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</si>
  <si>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</si>
  <si>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</si>
  <si>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</si>
  <si>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</si>
  <si>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</si>
  <si>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</si>
  <si>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</si>
  <si>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</si>
  <si>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</si>
  <si>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</si>
  <si>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</si>
  <si>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</si>
  <si>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</si>
  <si>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</si>
  <si>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</si>
  <si>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</si>
  <si>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</si>
  <si>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</si>
  <si>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</si>
  <si>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</si>
  <si>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</si>
  <si>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</si>
  <si>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</si>
  <si>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</si>
  <si>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</si>
  <si>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</si>
  <si>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</si>
  <si>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</si>
  <si>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</si>
  <si>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</si>
  <si>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</si>
  <si>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</si>
  <si>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</si>
  <si>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</si>
  <si>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</si>
  <si>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</si>
  <si>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</si>
  <si>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</si>
  <si>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</si>
  <si>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</si>
  <si>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</si>
  <si>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</si>
  <si>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</si>
  <si>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</si>
  <si>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</si>
  <si>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</si>
  <si>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</si>
  <si>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</si>
  <si>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</si>
  <si>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</si>
  <si>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</si>
  <si>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</si>
  <si>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</si>
  <si>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</si>
  <si>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</si>
  <si>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</si>
  <si>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</si>
  <si>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</si>
  <si>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</si>
  <si>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</si>
  <si>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</si>
  <si>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</si>
  <si>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</si>
  <si>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</si>
  <si>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</si>
  <si>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</si>
  <si>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</si>
  <si>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</si>
  <si>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</si>
  <si>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</si>
  <si>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</si>
  <si>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</si>
  <si>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</si>
  <si>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</si>
  <si>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</si>
  <si>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</si>
  <si>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</si>
  <si>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</si>
  <si>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</si>
  <si>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</si>
  <si>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</si>
  <si>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</si>
  <si>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</si>
  <si>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</si>
  <si>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</si>
  <si>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</si>
  <si>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</si>
  <si>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</si>
  <si>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</si>
  <si>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</si>
  <si>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</si>
  <si>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</si>
  <si>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</si>
  <si>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</si>
  <si>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</si>
  <si>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</si>
  <si>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</si>
  <si>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</si>
  <si>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</si>
  <si>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</si>
  <si>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</si>
  <si>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</si>
  <si>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</si>
  <si>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</si>
  <si>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</si>
  <si>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</si>
  <si>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</si>
  <si>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</si>
  <si>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</si>
  <si>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</si>
  <si>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</si>
  <si>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</si>
  <si>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</si>
  <si>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</si>
  <si>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</si>
  <si>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</si>
  <si>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</si>
  <si>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</si>
  <si>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</si>
  <si>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</si>
  <si>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</si>
  <si>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</si>
  <si>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</si>
  <si>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</si>
  <si>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</si>
  <si>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</si>
  <si>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</si>
  <si>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</si>
  <si>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</si>
  <si>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</si>
  <si>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</si>
  <si>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</si>
  <si>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</si>
  <si>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</si>
  <si>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</si>
  <si>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</si>
  <si>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</si>
  <si>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</si>
  <si>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</si>
  <si>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</si>
  <si>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</si>
  <si>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</si>
  <si>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</si>
  <si>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</si>
  <si>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</si>
  <si>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</si>
  <si>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</si>
  <si>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</si>
  <si>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</si>
  <si>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</si>
  <si>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</si>
  <si>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</si>
  <si>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</si>
  <si>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</si>
  <si>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</si>
  <si>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</si>
  <si>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</si>
  <si>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</si>
  <si>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</si>
  <si>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</si>
  <si>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</si>
  <si>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</si>
  <si>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</si>
  <si>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</si>
  <si>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</si>
  <si>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</si>
  <si>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</si>
  <si>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</si>
  <si>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</si>
  <si>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</si>
  <si>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</si>
  <si>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</si>
  <si>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</si>
  <si>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</si>
  <si>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</si>
  <si>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</si>
  <si>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6186.HK</t>
  </si>
  <si>
    <t>中国飞鹤</t>
  </si>
  <si>
    <t>C0002</t>
  </si>
  <si>
    <t>CNY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</si>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</sst>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45605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9067251704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273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274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19532203</v>
      </c>
      <c r="D25" s="148">
        <v>21310933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6868850</v>
      </c>
      <c r="D26" s="149">
        <v>7360333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8571978</v>
      </c>
      <c r="D27" s="149">
        <v>8215637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53132</v>
      </c>
      <c r="D29" s="149">
        <v>33640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-99657</v>
      </c>
      <c r="D30" s="149">
        <v>6058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v>-337926</v>
      </c>
      <c r="D31" s="149">
        <v>827860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v>630037</v>
      </c>
      <c r="D32" s="149">
        <v>543737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630037</v>
      </c>
      <c r="D33" s="149">
        <v>543737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>
        <v>22554271</v>
      </c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>
        <v>431184</v>
      </c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>
        <v>2258059</v>
      </c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8565478</v>
      </c>
      <c r="D37" s="149">
        <v>7382230</v>
      </c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>
        <v>2478102</v>
      </c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>
        <v>592316</v>
      </c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>
        <v>1044096</v>
      </c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27043707</v>
      </c>
      <c r="D41" s="149">
        <v>26334346</v>
      </c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1426434</v>
      </c>
      <c r="D42" s="149">
        <v>1389487</v>
      </c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>
        <v>19968596</v>
      </c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0.1484+0.1632</f>
        <v>0.31159999999999999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5.7289348978183767E-2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19073030</v>
      </c>
      <c r="D48" s="60">
        <v>0.9</v>
      </c>
      <c r="E48" s="112"/>
    </row>
    <row r="49" spans="2:5" ht="13.9" x14ac:dyDescent="0.4">
      <c r="B49" s="1" t="s">
        <v>130</v>
      </c>
      <c r="C49" s="59">
        <v>20972</v>
      </c>
      <c r="D49" s="60">
        <v>0.8</v>
      </c>
      <c r="E49" s="112"/>
    </row>
    <row r="50" spans="2:5" ht="13.9" x14ac:dyDescent="0.4">
      <c r="B50" s="3" t="s">
        <v>112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>
        <v>854264</v>
      </c>
      <c r="D54" s="60">
        <v>0.1</v>
      </c>
      <c r="E54" s="112"/>
    </row>
    <row r="55" spans="2:5" ht="13.9" x14ac:dyDescent="0.4">
      <c r="B55" s="3" t="s">
        <v>43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113569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>
        <v>45190</v>
      </c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15244</v>
      </c>
      <c r="D70" s="60">
        <v>0.05</v>
      </c>
      <c r="E70" s="112"/>
    </row>
    <row r="71" spans="2:5" ht="13.9" x14ac:dyDescent="0.4">
      <c r="B71" s="3" t="s">
        <v>71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112402</v>
      </c>
      <c r="D72" s="245">
        <v>0</v>
      </c>
      <c r="E72" s="246"/>
    </row>
    <row r="73" spans="2:5" ht="13.9" x14ac:dyDescent="0.4">
      <c r="B73" s="3" t="s">
        <v>35</v>
      </c>
      <c r="C73" s="59">
        <v>510909</v>
      </c>
    </row>
    <row r="74" spans="2:5" ht="13.9" x14ac:dyDescent="0.4">
      <c r="B74" s="3" t="s">
        <v>36</v>
      </c>
      <c r="C74" s="59">
        <v>28807</v>
      </c>
    </row>
    <row r="75" spans="2:5" ht="13.9" x14ac:dyDescent="0.4">
      <c r="B75" s="3" t="s">
        <v>37</v>
      </c>
      <c r="C75" s="59">
        <v>0</v>
      </c>
    </row>
    <row r="76" spans="2:5" ht="13.9" x14ac:dyDescent="0.4">
      <c r="B76" s="86" t="s">
        <v>39</v>
      </c>
      <c r="C76" s="119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58</v>
      </c>
      <c r="C78" s="59">
        <v>756896</v>
      </c>
    </row>
    <row r="79" spans="2:5" ht="13.9" x14ac:dyDescent="0.4">
      <c r="B79" s="3" t="s">
        <v>60</v>
      </c>
      <c r="C79" s="59">
        <v>52067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>
        <v>1852861</v>
      </c>
    </row>
    <row r="83" spans="2:8" ht="14.25" hidden="1" thickTop="1" x14ac:dyDescent="0.4">
      <c r="B83" s="73" t="s">
        <v>268</v>
      </c>
      <c r="C83" s="214">
        <v>25617273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19532203</v>
      </c>
      <c r="D91" s="206"/>
      <c r="E91" s="248">
        <f>C91</f>
        <v>19532203</v>
      </c>
      <c r="F91" s="248">
        <f>C91</f>
        <v>19532203</v>
      </c>
    </row>
    <row r="92" spans="2:8" ht="13.9" x14ac:dyDescent="0.4">
      <c r="B92" s="104" t="s">
        <v>102</v>
      </c>
      <c r="C92" s="77">
        <f>C26</f>
        <v>6868850</v>
      </c>
      <c r="D92" s="158">
        <f>C92/C91</f>
        <v>0.35166796085418528</v>
      </c>
      <c r="E92" s="249">
        <f>E91*D92</f>
        <v>6868850</v>
      </c>
      <c r="F92" s="249">
        <f>F91*D92</f>
        <v>6868850</v>
      </c>
    </row>
    <row r="93" spans="2:8" ht="13.9" x14ac:dyDescent="0.4">
      <c r="B93" s="104" t="s">
        <v>230</v>
      </c>
      <c r="C93" s="77">
        <f>C27+C28</f>
        <v>8571978</v>
      </c>
      <c r="D93" s="158">
        <f>C93/C91</f>
        <v>0.43886385985236792</v>
      </c>
      <c r="E93" s="249">
        <f>E91*D93</f>
        <v>8571978</v>
      </c>
      <c r="F93" s="249">
        <f>F91*D93</f>
        <v>8571978</v>
      </c>
    </row>
    <row r="94" spans="2:8" ht="13.9" x14ac:dyDescent="0.4">
      <c r="B94" s="104" t="s">
        <v>239</v>
      </c>
      <c r="C94" s="77">
        <f>C29</f>
        <v>53132</v>
      </c>
      <c r="D94" s="158">
        <f>C94/C91</f>
        <v>2.7202256703967287E-3</v>
      </c>
      <c r="E94" s="250"/>
      <c r="F94" s="249">
        <f>F91*D94</f>
        <v>53131.999999999993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0.31159999999999999</v>
      </c>
      <c r="D98" s="263"/>
      <c r="E98" s="251">
        <f>F98</f>
        <v>0.31159999999999999</v>
      </c>
      <c r="F98" s="251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6186.HK</v>
      </c>
      <c r="D3" s="290"/>
      <c r="E3" s="87"/>
      <c r="F3" s="3" t="s">
        <v>1</v>
      </c>
      <c r="G3" s="131">
        <v>5.81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中国飞鹤</v>
      </c>
      <c r="D4" s="292"/>
      <c r="E4" s="87"/>
      <c r="F4" s="3" t="s">
        <v>2</v>
      </c>
      <c r="G4" s="295">
        <f>Inputs!C10</f>
        <v>9067251704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45605</v>
      </c>
      <c r="D5" s="294"/>
      <c r="E5" s="34"/>
      <c r="F5" s="35" t="s">
        <v>96</v>
      </c>
      <c r="G5" s="287">
        <f>G3*G4/1000000</f>
        <v>52680.732400239998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C0002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>
        <f>C23*C22*(1/C21)</f>
        <v>0.15971157429598379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>
        <f>Data!C53</f>
        <v>0.71940071079975576</v>
      </c>
      <c r="F21" s="87"/>
      <c r="G21" s="29"/>
    </row>
    <row r="22" spans="1:8" ht="15.75" customHeight="1" x14ac:dyDescent="0.4">
      <c r="B22" s="276" t="s">
        <v>265</v>
      </c>
      <c r="C22" s="277">
        <f>Data!C48</f>
        <v>0.54851586746509362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0.20946817929344683</v>
      </c>
      <c r="F23" s="139" t="s">
        <v>175</v>
      </c>
      <c r="G23" s="176">
        <f>G3/(Data!C34*Data!C4/Common_Shares*Exchange_Rate)</f>
        <v>1.8236143949332886</v>
      </c>
    </row>
    <row r="24" spans="1:8" ht="15.75" customHeight="1" x14ac:dyDescent="0.4">
      <c r="B24" s="136" t="s">
        <v>258</v>
      </c>
      <c r="C24" s="170">
        <f>Fin_Analysis!I81</f>
        <v>2.7202256703967287E-3</v>
      </c>
      <c r="F24" s="139" t="s">
        <v>242</v>
      </c>
      <c r="G24" s="265">
        <f>G3/(Fin_Analysis!H86*G7)</f>
        <v>16.283416121832573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0.93286630876064991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5.7289348978183767E-2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3.8646480594920729</v>
      </c>
      <c r="D29" s="128">
        <f>G29*(1+G20)</f>
        <v>6.7136140225746095</v>
      </c>
      <c r="E29" s="87"/>
      <c r="F29" s="130">
        <f>IF(Fin_Analysis!C108="Profit",Fin_Analysis!F100,IF(Fin_Analysis!C108="Dividend",Fin_Analysis!F103,Fin_Analysis!F106))</f>
        <v>4.5466447758730268</v>
      </c>
      <c r="G29" s="286">
        <f>IF(Fin_Analysis!C108="Profit",Fin_Analysis!I100,IF(Fin_Analysis!C108="Dividend",Fin_Analysis!I103,Fin_Analysis!I106))</f>
        <v>5.8379252370214001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19532203</v>
      </c>
      <c r="D6" s="199">
        <f>IF(Inputs!D25="","",Inputs!D25)</f>
        <v>21310933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6868850</v>
      </c>
      <c r="D8" s="198">
        <f>IF(Inputs!D26="","",Inputs!D26)</f>
        <v>7360333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12663353</v>
      </c>
      <c r="D9" s="150">
        <f t="shared" si="2"/>
        <v>13950600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8571978</v>
      </c>
      <c r="D10" s="198">
        <f>IF(Inputs!D27="","",Inputs!D27)</f>
        <v>8215637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0</v>
      </c>
      <c r="D12" s="198">
        <f>IF(Inputs!D30="","",MAX(Inputs!D30,0)/(1-Fin_Analysis!$I$84))</f>
        <v>8077.333333333333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0.20946817929344683</v>
      </c>
      <c r="D13" s="226">
        <f t="shared" si="3"/>
        <v>0.26872993625697511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4091375</v>
      </c>
      <c r="D14" s="227">
        <f t="shared" ref="D14:M14" si="4">IF(D6="","",D9-D10-MAX(D11,0)-MAX(D12,0))</f>
        <v>5726885.666666667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-0.28558465488252288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-337926</v>
      </c>
      <c r="D16" s="198">
        <f>IF(Inputs!D31="","",Inputs!D31)</f>
        <v>827860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53132</v>
      </c>
      <c r="D17" s="198">
        <f>IF(Inputs!D29="","",Inputs!D29)</f>
        <v>33640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3.2256320498000146E-2</v>
      </c>
      <c r="D18" s="151">
        <f t="shared" si="6"/>
        <v>2.5514462459245685E-2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630037</v>
      </c>
      <c r="D19" s="198">
        <f>IF(Inputs!D32="","",Inputs!D32)</f>
        <v>543737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3.2256320498000146E-2</v>
      </c>
      <c r="D20" s="151">
        <f t="shared" si="7"/>
        <v>2.5514462459245685E-2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630037</v>
      </c>
      <c r="D21" s="198">
        <f>IF(Inputs!D33="","",Inputs!D33)</f>
        <v>543737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4038243</v>
      </c>
      <c r="D22" s="160">
        <f t="shared" ref="D22:M22" si="8">IF(D6="","",D14-MAX(D16,0)-MAX(D17,0)-ABS(MAX(D21,0)-MAX(D19,0)))</f>
        <v>4865385.666666667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0.15506096521728757</v>
      </c>
      <c r="D23" s="152">
        <f t="shared" si="9"/>
        <v>0.17122850745202006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-0.17000557064438263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35609185</v>
      </c>
      <c r="D27" s="65">
        <f>IF(D34="","",D34+D30)</f>
        <v>33716576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308472</v>
      </c>
      <c r="D28" s="198">
        <f>IF(Inputs!D35="","",Inputs!D35)</f>
        <v>431184</v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2139247</v>
      </c>
      <c r="D29" s="198">
        <f>IF(Inputs!D36="","",Inputs!D36)</f>
        <v>2258059</v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8565478</v>
      </c>
      <c r="D30" s="198">
        <f>IF(Inputs!D37="","",Inputs!D37)</f>
        <v>7382230</v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549384</v>
      </c>
      <c r="D31" s="198">
        <f>IF(Inputs!D39="","",Inputs!D39)</f>
        <v>592316</v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808963</v>
      </c>
      <c r="D32" s="198">
        <f>IF(Inputs!D40="","",Inputs!D40)</f>
        <v>1044096</v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1358347</v>
      </c>
      <c r="D33" s="77">
        <f t="shared" ref="D33" si="22">IF(OR(D31="",D32=""),"",D31+D32)</f>
        <v>1636412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27043707</v>
      </c>
      <c r="D34" s="198">
        <f>IF(Inputs!D41="","",Inputs!D41)</f>
        <v>26334346</v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1426434</v>
      </c>
      <c r="D35" s="198">
        <f>IF(Inputs!D42="","",Inputs!D42)</f>
        <v>1389487</v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>
        <f>IF(Inputs!D43="","",Inputs!D43)</f>
        <v>19968596</v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16075596</v>
      </c>
      <c r="D37" s="65">
        <f t="shared" ref="D37:M37" si="32">IF(D36="","",D27-D36)</f>
        <v>13747980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0.25450844870697176</v>
      </c>
      <c r="D38" s="154">
        <f>IF(D6="","",D14/MAX(D37,0))</f>
        <v>0.41656197249826282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0.35166796085418528</v>
      </c>
      <c r="D40" s="155">
        <f t="shared" si="34"/>
        <v>0.34537826194657922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0.43886385985236792</v>
      </c>
      <c r="D41" s="152">
        <f t="shared" si="35"/>
        <v>0.3855127788163944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3.8846727170509146E-2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2.7202256703967287E-3</v>
      </c>
      <c r="D43" s="152">
        <f t="shared" si="37"/>
        <v>1.5785324837725313E-3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3.7902298005128792E-4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0.2067479536230501</v>
      </c>
      <c r="D46" s="152">
        <f t="shared" si="40"/>
        <v>0.22830467660269341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>
        <f t="shared" ref="C48:M48" si="41">IF(C6="","",C6/C27)</f>
        <v>0.54851586746509362</v>
      </c>
      <c r="D48" s="269">
        <f t="shared" si="41"/>
        <v>0.63206100761832995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1.5792995802879992E-2</v>
      </c>
      <c r="D49" s="152">
        <f t="shared" si="42"/>
        <v>2.0232994960849439E-2</v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0.1095241023247608</v>
      </c>
      <c r="D50" s="152">
        <f t="shared" si="43"/>
        <v>0.10595777294217949</v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>
        <f t="shared" ref="C51:M51" si="44">IF(D6="","",C16/(C6-D6))</f>
        <v>0.18998161609687811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>
        <f t="shared" ref="C53:M53" si="45">IF(C34="","",(C34-C35)/C27)</f>
        <v>0.71940071079975576</v>
      </c>
      <c r="D53" s="155">
        <f t="shared" si="45"/>
        <v>0.73983962665722636</v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2.9729097204175368</v>
      </c>
      <c r="D54" s="156">
        <f t="shared" si="46"/>
        <v>2.9732033660634771</v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1.3157207230966536E-2</v>
      </c>
      <c r="D55" s="152">
        <f t="shared" si="47"/>
        <v>6.9141487036622033E-3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>
        <f t="shared" ref="C58:M58" si="49">IF(C14="","",C14/(C34-C35))</f>
        <v>0.15971157429598382</v>
      </c>
      <c r="D58" s="271">
        <f t="shared" si="49"/>
        <v>0.22958180147126375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>
        <f t="shared" ref="C59:M59" si="50">IF(C22="","",C22/(C34-C35))</f>
        <v>0.15763750497564671</v>
      </c>
      <c r="D59" s="271">
        <f t="shared" si="50"/>
        <v>0.19504562710363152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27043707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25617273</v>
      </c>
      <c r="K3" s="24"/>
    </row>
    <row r="4" spans="1:11" ht="15" customHeight="1" x14ac:dyDescent="0.4">
      <c r="B4" s="3" t="s">
        <v>23</v>
      </c>
      <c r="C4" s="87"/>
      <c r="D4" s="198">
        <f>Inputs!C42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3.3364014362803656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8831384.7241777293</v>
      </c>
      <c r="E6" s="56">
        <f>1-D6/D3</f>
        <v>0.67344030446056347</v>
      </c>
      <c r="F6" s="87"/>
      <c r="G6" s="87"/>
      <c r="H6" s="1" t="s">
        <v>26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1.0404128396636907</v>
      </c>
      <c r="E7" s="11" t="str">
        <f>Dashboard!H3</f>
        <v>HKD</v>
      </c>
      <c r="H7" s="1" t="s">
        <v>27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19073030</v>
      </c>
      <c r="D11" s="197">
        <f>Inputs!D48</f>
        <v>0.9</v>
      </c>
      <c r="E11" s="88">
        <f t="shared" ref="E11:E22" si="0">C11*D11</f>
        <v>17165727</v>
      </c>
      <c r="F11" s="112"/>
      <c r="G11" s="87"/>
      <c r="H11" s="3" t="s">
        <v>35</v>
      </c>
      <c r="I11" s="40">
        <f>Inputs!C73</f>
        <v>510909</v>
      </c>
      <c r="J11" s="87"/>
      <c r="K11" s="24"/>
    </row>
    <row r="12" spans="1:11" ht="13.9" x14ac:dyDescent="0.4">
      <c r="B12" s="1" t="s">
        <v>130</v>
      </c>
      <c r="C12" s="40">
        <f>Inputs!C49</f>
        <v>20972</v>
      </c>
      <c r="D12" s="197">
        <f>Inputs!D49</f>
        <v>0.8</v>
      </c>
      <c r="E12" s="88">
        <f t="shared" si="0"/>
        <v>16777.600000000002</v>
      </c>
      <c r="F12" s="112"/>
      <c r="G12" s="87"/>
      <c r="H12" s="3" t="s">
        <v>36</v>
      </c>
      <c r="I12" s="40">
        <f>Inputs!C74</f>
        <v>28807</v>
      </c>
      <c r="J12" s="87"/>
      <c r="K12" s="24"/>
    </row>
    <row r="13" spans="1:11" ht="13.9" x14ac:dyDescent="0.4">
      <c r="B13" s="3" t="s">
        <v>112</v>
      </c>
      <c r="C13" s="40">
        <f>Inputs!C50</f>
        <v>308472</v>
      </c>
      <c r="D13" s="197">
        <f>Inputs!D50</f>
        <v>0.6</v>
      </c>
      <c r="E13" s="88">
        <f t="shared" si="0"/>
        <v>185083.19999999998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9668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549384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854264</v>
      </c>
      <c r="D17" s="197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2139247</v>
      </c>
      <c r="D18" s="197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51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52</v>
      </c>
      <c r="I25" s="63">
        <f>E28/I28</f>
        <v>2.7593765144056333</v>
      </c>
    </row>
    <row r="26" spans="2:10" ht="15" customHeight="1" x14ac:dyDescent="0.4">
      <c r="B26" s="23" t="s">
        <v>53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54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4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300000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756896</v>
      </c>
      <c r="J30" s="87"/>
    </row>
    <row r="31" spans="2:10" ht="15" customHeight="1" x14ac:dyDescent="0.4">
      <c r="B31" s="3" t="s">
        <v>59</v>
      </c>
      <c r="C31" s="40">
        <f>Inputs!C61</f>
        <v>1800</v>
      </c>
      <c r="D31" s="197">
        <f>Inputs!D61</f>
        <v>0.6</v>
      </c>
      <c r="E31" s="88">
        <f t="shared" ref="E31:E42" si="1">C31*D31</f>
        <v>1080</v>
      </c>
      <c r="F31" s="112"/>
      <c r="G31" s="87"/>
      <c r="H31" s="3" t="s">
        <v>60</v>
      </c>
      <c r="I31" s="40">
        <f>Inputs!C79</f>
        <v>52067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808963</v>
      </c>
      <c r="J34" s="87"/>
    </row>
    <row r="35" spans="2:10" ht="13.9" x14ac:dyDescent="0.4">
      <c r="B35" s="3" t="s">
        <v>66</v>
      </c>
      <c r="C35" s="40">
        <f>Inputs!C65</f>
        <v>113569</v>
      </c>
      <c r="D35" s="197">
        <f>Inputs!D65</f>
        <v>0.1</v>
      </c>
      <c r="E35" s="88">
        <f t="shared" si="1"/>
        <v>11356.900000000001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45190</v>
      </c>
      <c r="D36" s="197">
        <f>Inputs!D66</f>
        <v>0.2</v>
      </c>
      <c r="E36" s="88">
        <f t="shared" si="1"/>
        <v>9038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9938000</v>
      </c>
      <c r="D38" s="197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2304520</v>
      </c>
      <c r="D39" s="197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15244</v>
      </c>
      <c r="D40" s="197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382475</v>
      </c>
      <c r="D41" s="197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112402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77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79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81</v>
      </c>
      <c r="I48" s="281">
        <f>I49-I28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82</v>
      </c>
      <c r="I49" s="40">
        <f>Inputs!C37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1426434</v>
      </c>
      <c r="D53" s="29">
        <f>IF(E53=0, 0,E53/C53)</f>
        <v>1.8236143949332886</v>
      </c>
      <c r="E53" s="88">
        <f>IF(C53=0,0,MAX(C53,C53*Dashboard!G23))</f>
        <v>2601265.5758222705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1358347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19373030</v>
      </c>
      <c r="D62" s="107">
        <f t="shared" si="2"/>
        <v>0.88606309906091096</v>
      </c>
      <c r="E62" s="117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19532203</v>
      </c>
      <c r="D74" s="206"/>
      <c r="E74" s="235">
        <f>Inputs!E91</f>
        <v>19532203</v>
      </c>
      <c r="F74" s="206"/>
      <c r="H74" s="235">
        <f>Inputs!F91</f>
        <v>19532203</v>
      </c>
      <c r="I74" s="206"/>
      <c r="K74" s="24"/>
    </row>
    <row r="75" spans="1:11" ht="15" customHeight="1" x14ac:dyDescent="0.4">
      <c r="B75" s="104" t="s">
        <v>102</v>
      </c>
      <c r="C75" s="77">
        <f>Data!C8</f>
        <v>6868850</v>
      </c>
      <c r="D75" s="158">
        <f>C75/$C$74</f>
        <v>0.35166796085418528</v>
      </c>
      <c r="E75" s="235">
        <f>Inputs!E92</f>
        <v>6868850</v>
      </c>
      <c r="F75" s="159">
        <f>E75/E74</f>
        <v>0.35166796085418528</v>
      </c>
      <c r="H75" s="235">
        <f>Inputs!F92</f>
        <v>6868850</v>
      </c>
      <c r="I75" s="159">
        <f>H75/$H$74</f>
        <v>0.35166796085418528</v>
      </c>
      <c r="K75" s="24"/>
    </row>
    <row r="76" spans="1:11" ht="15" customHeight="1" x14ac:dyDescent="0.4">
      <c r="B76" s="35" t="s">
        <v>92</v>
      </c>
      <c r="C76" s="160">
        <f>C74-C75</f>
        <v>12663353</v>
      </c>
      <c r="D76" s="207"/>
      <c r="E76" s="161">
        <f>E74-E75</f>
        <v>12663353</v>
      </c>
      <c r="F76" s="207"/>
      <c r="H76" s="161">
        <f>H74-H75</f>
        <v>12663353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8571978</v>
      </c>
      <c r="D77" s="158">
        <f>C77/$C$74</f>
        <v>0.43886385985236792</v>
      </c>
      <c r="E77" s="235">
        <f>Inputs!E93</f>
        <v>8571978</v>
      </c>
      <c r="F77" s="159">
        <f>E77/E74</f>
        <v>0.43886385985236792</v>
      </c>
      <c r="H77" s="235">
        <f>Inputs!F93</f>
        <v>8571978</v>
      </c>
      <c r="I77" s="159">
        <f>H77/$H$74</f>
        <v>0.43886385985236792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4091375</v>
      </c>
      <c r="D79" s="255">
        <f>C79/C74</f>
        <v>0.20946817929344683</v>
      </c>
      <c r="E79" s="256">
        <f>E76-E77-E78</f>
        <v>4091375</v>
      </c>
      <c r="F79" s="255">
        <f>E79/E74</f>
        <v>0.20946817929344683</v>
      </c>
      <c r="G79" s="257"/>
      <c r="H79" s="256">
        <f>H76-H77-H78</f>
        <v>4091375</v>
      </c>
      <c r="I79" s="255">
        <f>H79/H74</f>
        <v>0.20946817929344683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53132</v>
      </c>
      <c r="D81" s="158">
        <f>C81/$C$74</f>
        <v>2.7202256703967287E-3</v>
      </c>
      <c r="E81" s="179">
        <f>E74*F81</f>
        <v>53131.999999999993</v>
      </c>
      <c r="F81" s="159">
        <f>I81</f>
        <v>2.7202256703967287E-3</v>
      </c>
      <c r="H81" s="235">
        <f>Inputs!F94</f>
        <v>53131.999999999993</v>
      </c>
      <c r="I81" s="159">
        <f>H81/$H$74</f>
        <v>2.7202256703967287E-3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4038243</v>
      </c>
      <c r="D83" s="163">
        <f>C83/$C$74</f>
        <v>0.2067479536230501</v>
      </c>
      <c r="E83" s="164">
        <f>E79-E81-E82-E80</f>
        <v>4038243</v>
      </c>
      <c r="F83" s="163">
        <f>E83/E74</f>
        <v>0.2067479536230501</v>
      </c>
      <c r="H83" s="164">
        <f>H79-H81-H82-H80</f>
        <v>4038243</v>
      </c>
      <c r="I83" s="163">
        <f>H83/$H$74</f>
        <v>0.2067479536230501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3028682.25</v>
      </c>
      <c r="D85" s="255">
        <f>C85/$C$74</f>
        <v>0.15506096521728757</v>
      </c>
      <c r="E85" s="261">
        <f>E83*(1-F84)</f>
        <v>3028682.25</v>
      </c>
      <c r="F85" s="255">
        <f>E85/E74</f>
        <v>0.15506096521728757</v>
      </c>
      <c r="G85" s="257"/>
      <c r="H85" s="261">
        <f>H83*(1-I84)</f>
        <v>3028682.25</v>
      </c>
      <c r="I85" s="255">
        <f>H85/$H$74</f>
        <v>0.15506096521728757</v>
      </c>
      <c r="K85" s="24"/>
    </row>
    <row r="86" spans="1:11" ht="15" customHeight="1" x14ac:dyDescent="0.4">
      <c r="B86" s="87" t="s">
        <v>152</v>
      </c>
      <c r="C86" s="166">
        <f>C85*Data!C4/Common_Shares</f>
        <v>0.33402428308722287</v>
      </c>
      <c r="D86" s="206"/>
      <c r="E86" s="167">
        <f>E85*Data!C4/Common_Shares</f>
        <v>0.33402428308722287</v>
      </c>
      <c r="F86" s="206"/>
      <c r="H86" s="167">
        <f>H85*Data!C4/Common_Shares</f>
        <v>0.33402428308722287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6.1412174971025538E-2</v>
      </c>
      <c r="D87" s="206"/>
      <c r="E87" s="259">
        <f>E86*Exchange_Rate/Dashboard!G3</f>
        <v>6.1412174971025538E-2</v>
      </c>
      <c r="F87" s="206"/>
      <c r="H87" s="259">
        <f>H86*Exchange_Rate/Dashboard!G3</f>
        <v>6.1412174971025538E-2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0.31159999999999999</v>
      </c>
      <c r="D88" s="165">
        <f>C88/C86</f>
        <v>0.93286630876064991</v>
      </c>
      <c r="E88" s="169">
        <f>Inputs!E98</f>
        <v>0.31159999999999999</v>
      </c>
      <c r="F88" s="165">
        <f>E88/E86</f>
        <v>0.93286630876064991</v>
      </c>
      <c r="H88" s="169">
        <f>Inputs!F98</f>
        <v>0.31159999999999999</v>
      </c>
      <c r="I88" s="165">
        <f>H88/H86</f>
        <v>0.93286630876064991</v>
      </c>
      <c r="K88" s="24"/>
    </row>
    <row r="89" spans="1:11" ht="15" customHeight="1" x14ac:dyDescent="0.4">
      <c r="B89" s="87" t="s">
        <v>206</v>
      </c>
      <c r="C89" s="258">
        <f>C88*Exchange_Rate/Dashboard!G3</f>
        <v>5.7289348978183767E-2</v>
      </c>
      <c r="D89" s="206"/>
      <c r="E89" s="258">
        <f>E88*Exchange_Rate/Dashboard!G3</f>
        <v>5.7289348978183767E-2</v>
      </c>
      <c r="F89" s="206"/>
      <c r="H89" s="258">
        <f>H88*Exchange_Rate/Dashboard!G3</f>
        <v>5.7289348978183767E-2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7.2554616842660211</v>
      </c>
      <c r="H93" s="87" t="s">
        <v>195</v>
      </c>
      <c r="I93" s="143">
        <f>FV(H87,D93,0,-(H86/(C93-D94)))*Exchange_Rate</f>
        <v>7.2554616842660211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6.6379415327264155</v>
      </c>
      <c r="H94" s="87" t="s">
        <v>196</v>
      </c>
      <c r="I94" s="143">
        <f>FV(H89,D93,0,-(H88/(C93-D94)))*Exchange_Rate</f>
        <v>6.6379415327264155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32707814.270292461</v>
      </c>
      <c r="D97" s="210"/>
      <c r="E97" s="122">
        <f>PV(C94,D93,0,-F93)</f>
        <v>3.6072467532652119</v>
      </c>
      <c r="F97" s="210"/>
      <c r="H97" s="122">
        <f>PV(C94,D93,0,-I93)</f>
        <v>3.6072467532652119</v>
      </c>
      <c r="I97" s="122">
        <f>PV(C93,D93,0,-I93)</f>
        <v>4.7975123973577087</v>
      </c>
      <c r="K97" s="24"/>
    </row>
    <row r="98" spans="2:11" ht="15" customHeight="1" x14ac:dyDescent="0.4">
      <c r="B98" s="28" t="s">
        <v>139</v>
      </c>
      <c r="C98" s="91">
        <f>-E53*Exchange_Rate</f>
        <v>-2778671.8677511159</v>
      </c>
      <c r="D98" s="210"/>
      <c r="E98" s="210"/>
      <c r="F98" s="210"/>
      <c r="H98" s="122">
        <f>C98*Data!$C$4/Common_Shares</f>
        <v>-0.30645138774798875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12212356.961055197</v>
      </c>
      <c r="D99" s="211"/>
      <c r="E99" s="144">
        <f>IF(H99&gt;0,H99*(1-C94),H99*(1+C94))</f>
        <v>1.1448345932999278</v>
      </c>
      <c r="F99" s="211"/>
      <c r="H99" s="144">
        <f>C99*Data!$C$4/Common_Shares</f>
        <v>1.3468642274116798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42141499.363596544</v>
      </c>
      <c r="D100" s="109">
        <f>MIN(F100*(1-C94),E100)</f>
        <v>3.8646480594920729</v>
      </c>
      <c r="E100" s="109">
        <f>MAX(E97+H98+E99,0)</f>
        <v>4.4456299588171504</v>
      </c>
      <c r="F100" s="109">
        <f>(E100+H100)/2</f>
        <v>4.5466447758730268</v>
      </c>
      <c r="H100" s="109">
        <f>MAX(C100*Data!$C$4/Common_Shares,0)</f>
        <v>4.6476595929289033</v>
      </c>
      <c r="I100" s="109">
        <f>MAX(I97+H98+H99,0)</f>
        <v>5.8379252370214001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29924017.000916693</v>
      </c>
      <c r="D103" s="109">
        <f>MIN(F103*(1-C94),E103)</f>
        <v>2.8051955852905688</v>
      </c>
      <c r="E103" s="122">
        <f>PV(C94,D93,0,-F94)</f>
        <v>3.3002301003418459</v>
      </c>
      <c r="F103" s="109">
        <f>(E103+H103)/2</f>
        <v>3.3002301003418459</v>
      </c>
      <c r="H103" s="122">
        <f>PV(C94,D93,0,-I94)</f>
        <v>3.3002301003418459</v>
      </c>
      <c r="I103" s="109">
        <f>PV(C93,D93,0,-I94)</f>
        <v>4.3891909546225083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35116831.410177477</v>
      </c>
      <c r="D106" s="109">
        <f>(D100+D103)/2</f>
        <v>3.3349218223913208</v>
      </c>
      <c r="E106" s="122">
        <f>(E100+E103)/2</f>
        <v>3.8729300295794982</v>
      </c>
      <c r="F106" s="109">
        <f>(F100+F103)/2</f>
        <v>3.9234374381074364</v>
      </c>
      <c r="H106" s="122">
        <f>(H100+H103)/2</f>
        <v>3.9739448466353746</v>
      </c>
      <c r="I106" s="122">
        <f>(I100+I103)/2</f>
        <v>5.1135580958219542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