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A1C6DC9D-2473-4ED1-A5D6-9935A7FF596D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D45" i="4" l="1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E91" i="4" s="1"/>
  <c r="F91" i="4" l="1"/>
  <c r="D98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G24" i="1"/>
  <c r="I88" i="3"/>
  <c r="G25" i="1" s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<sst xmlns="http://schemas.openxmlformats.org/spreadsheetml/2006/main" count="391" uniqueCount="268">
  <si>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</si>
  <si>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</si>
  <si>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</si>
  <si>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</si>
  <si>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</si>
  <si>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</si>
  <si>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</si>
  <si>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</si>
  <si>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</si>
  <si>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</si>
  <si>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</si>
  <si>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</si>
  <si>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</si>
  <si>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</si>
  <si>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</si>
  <si>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</si>
  <si>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</si>
  <si>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</si>
  <si>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</si>
  <si>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</si>
  <si>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</si>
  <si>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</si>
  <si>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</si>
  <si>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</si>
  <si>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</si>
  <si>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</si>
  <si>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</si>
  <si>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</si>
  <si>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</si>
  <si>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</si>
  <si>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</si>
  <si>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</si>
  <si>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</si>
  <si>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</si>
  <si>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</si>
  <si>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</si>
  <si>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</si>
  <si>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</si>
  <si>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</si>
  <si>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</si>
  <si>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</si>
  <si>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</si>
  <si>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</si>
  <si>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</si>
  <si>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</si>
  <si>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</si>
  <si>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</si>
  <si>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</si>
  <si>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</si>
  <si>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</si>
  <si>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</si>
  <si>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</si>
  <si>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</si>
  <si>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</si>
  <si>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</si>
  <si>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</si>
  <si>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</si>
  <si>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</si>
  <si>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</si>
  <si>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</si>
  <si>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</si>
  <si>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</si>
  <si>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</si>
  <si>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</si>
  <si>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</si>
  <si>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</si>
  <si>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</si>
  <si>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</si>
  <si>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</si>
  <si>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</si>
  <si>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</si>
  <si>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</si>
  <si>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</si>
  <si>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</si>
  <si>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</si>
  <si>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</si>
  <si>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</si>
  <si>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</si>
  <si>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</si>
  <si>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</si>
  <si>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</si>
  <si>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</si>
  <si>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</si>
  <si>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</si>
  <si>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</si>
  <si>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</si>
  <si>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</si>
  <si>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</si>
  <si>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</si>
  <si>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</si>
  <si>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</si>
  <si>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</si>
  <si>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</si>
  <si>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</si>
  <si>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</si>
  <si>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</si>
  <si>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</si>
  <si>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</si>
  <si>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</si>
  <si>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</si>
  <si>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</si>
  <si>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</si>
  <si>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</si>
  <si>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</si>
  <si>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</si>
  <si>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</si>
  <si>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</si>
  <si>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</si>
  <si>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</si>
  <si>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</si>
  <si>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</si>
  <si>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</si>
  <si>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</si>
  <si>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</si>
  <si>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</si>
  <si>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</si>
  <si>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</si>
  <si>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</si>
  <si>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</si>
  <si>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</si>
  <si>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</si>
  <si>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</si>
  <si>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</si>
  <si>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</si>
  <si>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</si>
  <si>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</si>
  <si>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</si>
  <si>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</si>
  <si>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</si>
  <si>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</si>
  <si>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</si>
  <si>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</si>
  <si>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</si>
  <si>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</si>
  <si>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</si>
  <si>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</si>
  <si>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</si>
  <si>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</si>
  <si>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</si>
  <si>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</si>
  <si>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</si>
  <si>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</si>
  <si>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</si>
  <si>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</si>
  <si>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</si>
  <si>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</si>
  <si>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</si>
  <si>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</si>
  <si>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</si>
  <si>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</si>
  <si>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</si>
  <si>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</si>
  <si>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</si>
  <si>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</si>
  <si>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</si>
  <si>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</si>
  <si>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</si>
  <si>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</si>
  <si>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</si>
  <si>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</si>
  <si>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</si>
  <si>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</si>
  <si>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</si>
  <si>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</si>
  <si>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</si>
  <si>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</si>
  <si>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</si>
  <si>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</si>
  <si>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</si>
  <si>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</si>
  <si>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</si>
  <si>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</si>
  <si>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</si>
  <si>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</si>
  <si>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</si>
  <si>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</si>
  <si>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</si>
  <si>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</si>
  <si>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</si>
  <si>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</si>
  <si>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</si>
  <si>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</si>
  <si>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</si>
  <si>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</si>
  <si>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</si>
  <si>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</si>
  <si>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</si>
  <si>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</si>
  <si>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</si>
  <si>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</si>
  <si>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</si>
  <si>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</si>
  <si>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</si>
  <si>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</si>
  <si>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</si>
  <si>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</si>
  <si>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</si>
  <si>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</si>
  <si>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</si>
  <si>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</si>
  <si>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</si>
  <si>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</si>
  <si>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</si>
  <si>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</si>
  <si>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</si>
  <si>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</si>
  <si>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</si>
  <si>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</si>
  <si>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</si>
  <si>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</si>
  <si>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</si>
  <si>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</si>
  <si>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</si>
  <si>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</si>
  <si>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</si>
  <si>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</si>
  <si>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</si>
  <si>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</si>
  <si>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</si>
  <si>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</si>
  <si>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</si>
  <si>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</si>
  <si>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</si>
  <si>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</si>
  <si>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</si>
  <si>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</si>
  <si>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</si>
  <si>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</si>
  <si>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</si>
  <si>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</si>
  <si>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</si>
  <si>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</si>
  <si>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</si>
  <si>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</si>
  <si>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</si>
  <si>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</si>
  <si>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</si>
  <si>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</si>
  <si>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</si>
  <si>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</si>
  <si>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</si>
  <si>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</si>
  <si>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</si>
  <si>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</si>
  <si>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</si>
  <si>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</si>
  <si>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</si>
  <si>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</si>
  <si>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</si>
  <si>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</si>
  <si>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</si>
  <si>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</si>
  <si>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</si>
  <si>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</si>
  <si>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</si>
  <si>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</si>
  <si>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</si>
  <si>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</si>
  <si>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</si>
  <si>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</si>
  <si>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</si>
  <si>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</si>
  <si>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</si>
  <si>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</si>
  <si>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</si>
  <si>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0027.HK</t>
  </si>
  <si>
    <t>銀河娛樂</t>
  </si>
  <si>
    <t>C0011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</si>
</sst>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1.2896444826797971E-3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0.1748539614938836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B1" zoomScaleNormal="100" workbookViewId="0">
      <selection activeCell="D12" sqref="D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265</v>
      </c>
    </row>
    <row r="5" spans="1:4" ht="13.9" x14ac:dyDescent="0.4">
      <c r="B5" s="141" t="s">
        <v>199</v>
      </c>
      <c r="C5" s="192" t="s">
        <v>266</v>
      </c>
    </row>
    <row r="6" spans="1:4" ht="13.9" x14ac:dyDescent="0.4">
      <c r="B6" s="141" t="s">
        <v>166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71</v>
      </c>
    </row>
    <row r="9" spans="1:4" ht="13.9" x14ac:dyDescent="0.4">
      <c r="B9" s="140" t="s">
        <v>221</v>
      </c>
      <c r="C9" s="193" t="s">
        <v>267</v>
      </c>
    </row>
    <row r="10" spans="1:4" ht="13.9" x14ac:dyDescent="0.4">
      <c r="B10" s="140" t="s">
        <v>222</v>
      </c>
      <c r="C10" s="194">
        <v>4373586962</v>
      </c>
    </row>
    <row r="11" spans="1:4" ht="13.9" x14ac:dyDescent="0.4">
      <c r="B11" s="140" t="s">
        <v>223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264</v>
      </c>
      <c r="C15" s="177" t="s">
        <v>193</v>
      </c>
    </row>
    <row r="16" spans="1:4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246</v>
      </c>
      <c r="C18" s="243" t="s">
        <v>253</v>
      </c>
      <c r="D18" s="24"/>
    </row>
    <row r="19" spans="2:13" ht="13.9" x14ac:dyDescent="0.4">
      <c r="B19" s="241" t="s">
        <v>247</v>
      </c>
      <c r="C19" s="243" t="s">
        <v>237</v>
      </c>
      <c r="D19" s="24"/>
    </row>
    <row r="20" spans="2:13" ht="13.9" x14ac:dyDescent="0.4">
      <c r="B20" s="242" t="s">
        <v>233</v>
      </c>
      <c r="C20" s="243" t="s">
        <v>237</v>
      </c>
      <c r="D20" s="24"/>
    </row>
    <row r="21" spans="2:13" ht="13.9" x14ac:dyDescent="0.4">
      <c r="B21" s="225" t="s">
        <v>238</v>
      </c>
      <c r="C21" s="243" t="s">
        <v>253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261</v>
      </c>
      <c r="C45" s="153">
        <f>IF(C44="","",C44*Exchange_Rate/Dashboard!$G$3)</f>
        <v>2.4539878449229533E-2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257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258</v>
      </c>
      <c r="C86" s="198">
        <v>5</v>
      </c>
    </row>
    <row r="87" spans="2:8" ht="13.9" x14ac:dyDescent="0.4">
      <c r="B87" s="10" t="s">
        <v>256</v>
      </c>
      <c r="C87" s="237" t="s">
        <v>259</v>
      </c>
    </row>
    <row r="89" spans="2:8" ht="13.5" x14ac:dyDescent="0.35">
      <c r="B89" s="106" t="s">
        <v>129</v>
      </c>
      <c r="C89" s="267">
        <f>C24</f>
        <v>45291</v>
      </c>
      <c r="D89" s="267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8" t="s">
        <v>101</v>
      </c>
      <c r="D90" s="268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255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124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254</v>
      </c>
      <c r="C95" s="77">
        <f>C33-C32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46020</v>
      </c>
      <c r="D97" s="160">
        <f>C97/C91</f>
        <v>1.2896444826797971E-3</v>
      </c>
      <c r="E97" s="254"/>
      <c r="F97" s="253">
        <f>F91*D97</f>
        <v>46020</v>
      </c>
    </row>
    <row r="98" spans="2:7" ht="13.9" x14ac:dyDescent="0.4">
      <c r="B98" s="86" t="s">
        <v>211</v>
      </c>
      <c r="C98" s="238">
        <f>C44</f>
        <v>0.8</v>
      </c>
      <c r="D98" s="167" t="e">
        <f>C98/C96</f>
        <v>#DIV/0!</v>
      </c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7" sqref="G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3" t="str">
        <f>Inputs!C4</f>
        <v>0027.HK</v>
      </c>
      <c r="D3" s="274"/>
      <c r="E3" s="87"/>
      <c r="F3" s="3" t="s">
        <v>1</v>
      </c>
      <c r="G3" s="132">
        <v>32.599998474121101</v>
      </c>
      <c r="H3" s="134" t="s">
        <v>2</v>
      </c>
    </row>
    <row r="4" spans="1:10" ht="15.75" customHeight="1" x14ac:dyDescent="0.4">
      <c r="B4" s="35" t="s">
        <v>199</v>
      </c>
      <c r="C4" s="275" t="str">
        <f>Inputs!C5</f>
        <v>銀河娛樂</v>
      </c>
      <c r="D4" s="276"/>
      <c r="E4" s="87"/>
      <c r="F4" s="3" t="s">
        <v>3</v>
      </c>
      <c r="G4" s="279">
        <f>Inputs!C10</f>
        <v>4373586962</v>
      </c>
      <c r="H4" s="279"/>
      <c r="I4" s="39"/>
    </row>
    <row r="5" spans="1:10" ht="15.75" customHeight="1" x14ac:dyDescent="0.4">
      <c r="B5" s="3" t="s">
        <v>166</v>
      </c>
      <c r="C5" s="277">
        <f>Inputs!C6</f>
        <v>45603</v>
      </c>
      <c r="D5" s="278"/>
      <c r="E5" s="34"/>
      <c r="F5" s="35" t="s">
        <v>100</v>
      </c>
      <c r="G5" s="271">
        <f>G3*G4/1000000</f>
        <v>142578.92828763596</v>
      </c>
      <c r="H5" s="271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4">
      <c r="B7" s="86" t="s">
        <v>196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4">
      <c r="B17" s="87" t="s">
        <v>263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0.47272944175123971</v>
      </c>
      <c r="F20" s="87" t="s">
        <v>215</v>
      </c>
      <c r="G20" s="173">
        <v>0.15</v>
      </c>
    </row>
    <row r="21" spans="1:8" ht="15.75" customHeight="1" x14ac:dyDescent="0.4">
      <c r="B21" s="137" t="s">
        <v>252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1.2896444826797971E-3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0</v>
      </c>
      <c r="F24" s="140" t="s">
        <v>178</v>
      </c>
      <c r="G24" s="179">
        <f>(Fin_Analysis!H86*G7)/G3</f>
        <v>3.347789748686112E-2</v>
      </c>
    </row>
    <row r="25" spans="1:8" ht="15.75" customHeight="1" x14ac:dyDescent="0.4">
      <c r="B25" s="137" t="s">
        <v>251</v>
      </c>
      <c r="C25" s="172">
        <f>Fin_Analysis!I82</f>
        <v>0</v>
      </c>
      <c r="F25" s="140" t="s">
        <v>177</v>
      </c>
      <c r="G25" s="172">
        <f>Fin_Analysis!I88</f>
        <v>0.45813582041070072</v>
      </c>
    </row>
    <row r="26" spans="1:8" ht="15.75" customHeight="1" x14ac:dyDescent="0.4">
      <c r="B26" s="138" t="s">
        <v>176</v>
      </c>
      <c r="C26" s="172">
        <f>Fin_Analysis!I83</f>
        <v>0.1748539614938836</v>
      </c>
      <c r="F26" s="141" t="s">
        <v>197</v>
      </c>
      <c r="G26" s="179">
        <f>Fin_Analysis!H88*Exchange_Rate/G3</f>
        <v>1.5337424030768458E-2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244</v>
      </c>
      <c r="G28" s="269" t="s">
        <v>245</v>
      </c>
      <c r="H28" s="269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8.2388673083635329</v>
      </c>
      <c r="D29" s="129">
        <f>IF(Fin_Analysis!C108="Profit",Fin_Analysis!I100,IF(Fin_Analysis!C108="Dividend",Fin_Analysis!I103,Fin_Analysis!I106))</f>
        <v>14.162886049469019</v>
      </c>
      <c r="E29" s="87"/>
      <c r="F29" s="131">
        <f>IF(Fin_Analysis!C108="Profit",Fin_Analysis!F100,IF(Fin_Analysis!C108="Dividend",Fin_Analysis!F103,Fin_Analysis!F106))</f>
        <v>9.69278506866298</v>
      </c>
      <c r="G29" s="270">
        <f>IF(Fin_Analysis!C108="Profit",Fin_Analysis!E100,IF(Fin_Analysis!C108="Dividend",Fin_Analysis!E103,Fin_Analysis!E106))</f>
        <v>9.69278506866298</v>
      </c>
      <c r="H29" s="270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246</v>
      </c>
      <c r="C36" s="246" t="str">
        <f>Inputs!C18</f>
        <v>unclear</v>
      </c>
    </row>
    <row r="37" spans="1:3" ht="15.75" customHeight="1" x14ac:dyDescent="0.4">
      <c r="A37"/>
      <c r="B37" s="20" t="s">
        <v>247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238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248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249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240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250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242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241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243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E91" sqref="E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0">
        <f>I15+I34</f>
        <v>0</v>
      </c>
      <c r="E56" s="27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7">
        <f>Data!C5</f>
        <v>45291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4">
      <c r="B74" s="3" t="s">
        <v>128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255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175</v>
      </c>
      <c r="C78" s="77">
        <f>MAX(Data!C12,0)</f>
        <v>60156.862745098035</v>
      </c>
      <c r="D78" s="160">
        <f>C78/$C$74</f>
        <v>1.6858097812807804E-3</v>
      </c>
      <c r="E78" s="181">
        <f>E74*F78</f>
        <v>46020</v>
      </c>
      <c r="F78" s="161">
        <f>I78</f>
        <v>1.2896444826797971E-3</v>
      </c>
      <c r="H78" s="239">
        <f>Inputs!F97</f>
        <v>46020</v>
      </c>
      <c r="I78" s="161">
        <f>H78/$H$74</f>
        <v>1.2896444826797971E-3</v>
      </c>
      <c r="K78" s="24"/>
    </row>
    <row r="79" spans="1:11" ht="15" customHeight="1" x14ac:dyDescent="0.4">
      <c r="B79" s="257" t="s">
        <v>239</v>
      </c>
      <c r="C79" s="258">
        <f>C76-C77-C78</f>
        <v>6225396.1372549022</v>
      </c>
      <c r="D79" s="259">
        <f>C79/C74</f>
        <v>0.17445779619528262</v>
      </c>
      <c r="E79" s="260">
        <f>E76-E77-E78</f>
        <v>6239533</v>
      </c>
      <c r="F79" s="259">
        <f>E79/E74</f>
        <v>0.1748539614938836</v>
      </c>
      <c r="G79" s="261"/>
      <c r="H79" s="260">
        <f>H76-H77-H78</f>
        <v>6239533</v>
      </c>
      <c r="I79" s="259">
        <f>H79/H74</f>
        <v>0.1748539614938836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254</v>
      </c>
      <c r="C82" s="77">
        <f>MAX(MAX(Data!C21,0)-MAX(Data!C19,0),0)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6239533</v>
      </c>
      <c r="F83" s="165">
        <f>E83/E74</f>
        <v>0.1748539614938836</v>
      </c>
      <c r="H83" s="166">
        <f>H79-H81-H82-H80</f>
        <v>6239533</v>
      </c>
      <c r="I83" s="165">
        <f>H83/$H$74</f>
        <v>0.1748539614938836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167</v>
      </c>
      <c r="C85" s="258">
        <f>C83*(1-I84)</f>
        <v>4762428.0449999999</v>
      </c>
      <c r="D85" s="259">
        <f>C85/$C$74</f>
        <v>0.13346021408939118</v>
      </c>
      <c r="E85" s="265">
        <f>E83*(1-F84)</f>
        <v>4773242.7450000001</v>
      </c>
      <c r="F85" s="259">
        <f>E85/E74</f>
        <v>0.13376328054282094</v>
      </c>
      <c r="G85" s="261"/>
      <c r="H85" s="265">
        <f>H83*(1-I84)</f>
        <v>4773242.7450000001</v>
      </c>
      <c r="I85" s="259">
        <f>H85/$H$74</f>
        <v>0.13376328054282094</v>
      </c>
      <c r="K85" s="24"/>
    </row>
    <row r="86" spans="1:11" ht="15" customHeight="1" x14ac:dyDescent="0.4">
      <c r="B86" s="87" t="s">
        <v>163</v>
      </c>
      <c r="C86" s="168">
        <f>C85*Data!C4/Common_Shares</f>
        <v>1.0889066769172429</v>
      </c>
      <c r="D86" s="210"/>
      <c r="E86" s="169">
        <f>E85*Data!C4/Common_Shares</f>
        <v>1.0913794069884553</v>
      </c>
      <c r="F86" s="210"/>
      <c r="H86" s="169">
        <f>H85*Data!C4/Common_Shares</f>
        <v>1.0913794069884553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3.3402046867629487E-2</v>
      </c>
      <c r="D87" s="210"/>
      <c r="E87" s="263">
        <f>E86*Exchange_Rate/Dashboard!G3</f>
        <v>3.347789748686112E-2</v>
      </c>
      <c r="F87" s="210"/>
      <c r="H87" s="263">
        <f>H86*Exchange_Rate/Dashboard!G3</f>
        <v>3.347789748686112E-2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0.45813582041070072</v>
      </c>
      <c r="H88" s="171">
        <f>Inputs!F98</f>
        <v>0.5</v>
      </c>
      <c r="I88" s="167">
        <f>H88/H86</f>
        <v>0.45813582041070072</v>
      </c>
      <c r="K88" s="24"/>
    </row>
    <row r="89" spans="1:11" ht="15" customHeight="1" x14ac:dyDescent="0.4">
      <c r="B89" s="87" t="s">
        <v>226</v>
      </c>
      <c r="C89" s="262">
        <f>C88*Exchange_Rate/Dashboard!G3</f>
        <v>2.4539878449229533E-2</v>
      </c>
      <c r="D89" s="210"/>
      <c r="E89" s="262">
        <f>E88*Exchange_Rate/Dashboard!G3</f>
        <v>1.5337424030768458E-2</v>
      </c>
      <c r="F89" s="210"/>
      <c r="H89" s="262">
        <f>H88*Exchange_Rate/Dashboard!G3</f>
        <v>1.5337424030768458E-2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HK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19.495652914747961</v>
      </c>
      <c r="H93" s="87" t="s">
        <v>213</v>
      </c>
      <c r="I93" s="144">
        <f>FV(H87,D93,0,-(H86/C93))</f>
        <v>19.495652914747961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8.1748169899538468</v>
      </c>
      <c r="H94" s="87" t="s">
        <v>214</v>
      </c>
      <c r="I94" s="144">
        <f>FV(H89,D93,0,-(H88/C93))</f>
        <v>8.1748169899538468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244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42392238.401772685</v>
      </c>
      <c r="D97" s="214"/>
      <c r="E97" s="123">
        <f>PV(C94,D93,0,-F93)*Exchange_Rate</f>
        <v>9.69278506866298</v>
      </c>
      <c r="F97" s="214"/>
      <c r="H97" s="123">
        <f>PV(C94,D93,0,-I93)*Exchange_Rate</f>
        <v>9.69278506866298</v>
      </c>
      <c r="I97" s="123">
        <f>PV(C93,D93,0,-I93)*Exchange_Rate</f>
        <v>14.162886049469019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42392238.401772685</v>
      </c>
      <c r="D100" s="109">
        <f>MIN(F100*(1-C94),E100)</f>
        <v>8.2388673083635329</v>
      </c>
      <c r="E100" s="109">
        <f>MAX(E97-H98+E99,0)</f>
        <v>9.69278506866298</v>
      </c>
      <c r="F100" s="109">
        <f>(E100+H100)/2</f>
        <v>9.69278506866298</v>
      </c>
      <c r="H100" s="109">
        <f>MAX(C100*Data!$C$4/Common_Shares,0)</f>
        <v>9.69278506866298</v>
      </c>
      <c r="I100" s="109">
        <f>MAX(I97-H98+H99,0)</f>
        <v>14.162886049469019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244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17775695.548356324</v>
      </c>
      <c r="D103" s="109">
        <f>MIN(F103*(1-C94),E103)</f>
        <v>3.4546794993173098</v>
      </c>
      <c r="E103" s="123">
        <f>PV(C94,D93,0,-F94)*Exchange_Rate</f>
        <v>4.0643288227262468</v>
      </c>
      <c r="F103" s="109">
        <f>(E103+H103)/2</f>
        <v>4.0643288227262468</v>
      </c>
      <c r="H103" s="123">
        <f>PV(C94,D93,0,-I94)*Exchange_Rate</f>
        <v>4.0643288227262468</v>
      </c>
      <c r="I103" s="109">
        <f>PV(C93,D93,0,-I94)*Exchange_Rate</f>
        <v>5.9387085936678643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244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30083966.975064505</v>
      </c>
      <c r="D106" s="109">
        <f>(D100+D103)/2</f>
        <v>5.8467734038404213</v>
      </c>
      <c r="E106" s="123">
        <f>(E100+E103)/2</f>
        <v>6.8785569456946138</v>
      </c>
      <c r="F106" s="109">
        <f>(F100+F103)/2</f>
        <v>6.8785569456946138</v>
      </c>
      <c r="H106" s="123">
        <f>(H100+H103)/2</f>
        <v>6.8785569456946138</v>
      </c>
      <c r="I106" s="123">
        <f>(I100+I103)/2</f>
        <v>10.050797321568442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2024-11-28T01:51:12Z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