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E73CD8D6-68F3-437B-9B03-61DB19B055F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5" i="4" l="1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6" i="4"/>
  <c r="C94" i="4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G29" i="1" s="1"/>
  <c r="H97" i="3" l="1"/>
  <c r="C97" i="3" s="1"/>
  <c r="C100" i="3" s="1"/>
  <c r="H100" i="3" s="1"/>
  <c r="I97" i="3"/>
  <c r="I100" i="3" s="1"/>
  <c r="I106" i="3" s="1"/>
  <c r="D29" i="1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<sst xmlns="http://schemas.openxmlformats.org/spreadsheetml/2006/main" count="391" uniqueCount="271">
  <si>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</si>
  <si>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</si>
  <si>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</si>
  <si>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</si>
  <si>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</si>
  <si>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</si>
  <si>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</si>
  <si>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</si>
  <si>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</si>
  <si>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</si>
  <si>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</si>
  <si>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</si>
  <si>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</si>
  <si>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</si>
  <si>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</si>
  <si>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</si>
  <si>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</si>
  <si>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</si>
  <si>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</si>
  <si>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</si>
  <si>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</si>
  <si>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</si>
  <si>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</si>
  <si>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</si>
  <si>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</si>
  <si>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</si>
  <si>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</si>
  <si>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</si>
  <si>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</si>
  <si>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</si>
  <si>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</si>
  <si>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</si>
  <si>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</si>
  <si>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</si>
  <si>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</si>
  <si>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</si>
  <si>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</si>
  <si>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</si>
  <si>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</si>
  <si>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</si>
  <si>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</si>
  <si>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</si>
  <si>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</si>
  <si>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</si>
  <si>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</si>
  <si>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</si>
  <si>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</si>
  <si>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</si>
  <si>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</si>
  <si>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</si>
  <si>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</si>
  <si>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</si>
  <si>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</si>
  <si>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</si>
  <si>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</si>
  <si>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</si>
  <si>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</si>
  <si>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</si>
  <si>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</si>
  <si>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</si>
  <si>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</si>
  <si>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</si>
  <si>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</si>
  <si>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</si>
  <si>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</si>
  <si>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</si>
  <si>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</si>
  <si>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</si>
  <si>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</si>
  <si>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</si>
  <si>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</si>
  <si>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</si>
  <si>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</si>
  <si>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</si>
  <si>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</si>
  <si>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</si>
  <si>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</si>
  <si>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</si>
  <si>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</si>
  <si>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</si>
  <si>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</si>
  <si>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</si>
  <si>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</si>
  <si>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</si>
  <si>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</si>
  <si>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</si>
  <si>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</si>
  <si>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</si>
  <si>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</si>
  <si>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</si>
  <si>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</si>
  <si>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</si>
  <si>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</si>
  <si>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</si>
  <si>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</si>
  <si>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</si>
  <si>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</si>
  <si>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</si>
  <si>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</si>
  <si>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</si>
  <si>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</si>
  <si>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</si>
  <si>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</si>
  <si>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</si>
  <si>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</si>
  <si>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</si>
  <si>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</si>
  <si>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</si>
  <si>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</si>
  <si>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</si>
  <si>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</si>
  <si>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</si>
  <si>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</si>
  <si>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</si>
  <si>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</si>
  <si>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</si>
  <si>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</si>
  <si>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</si>
  <si>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</si>
  <si>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</si>
  <si>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</si>
  <si>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</si>
  <si>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</si>
  <si>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</si>
  <si>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</si>
  <si>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</si>
  <si>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</si>
  <si>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</si>
  <si>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</si>
  <si>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</si>
  <si>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</si>
  <si>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</si>
  <si>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</si>
  <si>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</si>
  <si>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</si>
  <si>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</si>
  <si>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</si>
  <si>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</si>
  <si>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</si>
  <si>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</si>
  <si>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</si>
  <si>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</si>
  <si>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</si>
  <si>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</si>
  <si>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</si>
  <si>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</si>
  <si>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</si>
  <si>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</si>
  <si>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</si>
  <si>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</si>
  <si>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</si>
  <si>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</si>
  <si>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</si>
  <si>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</si>
  <si>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</si>
  <si>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</si>
  <si>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</si>
  <si>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</si>
  <si>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</si>
  <si>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</si>
  <si>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</si>
  <si>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</si>
  <si>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</si>
  <si>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</si>
  <si>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</si>
  <si>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</si>
  <si>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</si>
  <si>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</si>
  <si>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</si>
  <si>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</si>
  <si>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</si>
  <si>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</si>
  <si>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</si>
  <si>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</si>
  <si>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</si>
  <si>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</si>
  <si>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</si>
  <si>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</si>
  <si>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</si>
  <si>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</si>
  <si>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</si>
  <si>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</si>
  <si>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</si>
  <si>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</si>
  <si>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</si>
  <si>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</si>
  <si>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</si>
  <si>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</si>
  <si>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</si>
  <si>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</si>
  <si>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</si>
  <si>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</si>
  <si>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</si>
  <si>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</si>
  <si>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</si>
  <si>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</si>
  <si>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</si>
  <si>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</si>
  <si>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</si>
  <si>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</si>
  <si>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</si>
  <si>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</si>
  <si>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</si>
  <si>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</si>
  <si>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</si>
  <si>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</si>
  <si>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</si>
  <si>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</si>
  <si>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</si>
  <si>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</si>
  <si>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</si>
  <si>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</si>
  <si>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</si>
  <si>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</si>
  <si>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</si>
  <si>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</si>
  <si>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</si>
  <si>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</si>
  <si>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</si>
  <si>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</si>
  <si>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</si>
  <si>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</si>
  <si>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</si>
  <si>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</si>
  <si>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</si>
  <si>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</si>
  <si>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</si>
  <si>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</si>
  <si>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</si>
  <si>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</si>
  <si>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</si>
  <si>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</si>
  <si>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</si>
  <si>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</si>
  <si>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</si>
  <si>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</si>
  <si>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</si>
  <si>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</si>
  <si>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</si>
  <si>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</si>
  <si>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</si>
  <si>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</si>
  <si>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</si>
  <si>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</si>
  <si>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</si>
  <si>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</si>
  <si>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</si>
  <si>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</si>
  <si>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</si>
  <si>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</si>
  <si>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</si>
  <si>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</si>
  <si>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</si>
  <si>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</si>
  <si>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</si>
  <si>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</si>
  <si>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</si>
  <si>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</si>
  <si>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</si>
  <si>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</si>
  <si>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</si>
  <si>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</si>
  <si>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</si>
  <si>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</si>
  <si>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</si>
  <si>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</si>
  <si>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0268.HK</t>
  </si>
  <si>
    <t>金蝶国际</t>
  </si>
  <si>
    <t>C0009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</si>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</sst>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82" zoomScaleNormal="100" workbookViewId="0">
      <selection activeCell="D106" sqref="D10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219</v>
      </c>
    </row>
    <row r="4" spans="1:4" ht="13.9" x14ac:dyDescent="0.4">
      <c r="B4" s="141" t="s">
        <v>198</v>
      </c>
      <c r="C4" s="189" t="s">
        <v>266</v>
      </c>
    </row>
    <row r="5" spans="1:4" ht="13.9" x14ac:dyDescent="0.4">
      <c r="B5" s="141" t="s">
        <v>199</v>
      </c>
      <c r="C5" s="192" t="s">
        <v>267</v>
      </c>
    </row>
    <row r="6" spans="1:4" ht="13.9" x14ac:dyDescent="0.4">
      <c r="B6" s="141" t="s">
        <v>166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220</v>
      </c>
      <c r="C8" s="192" t="s">
        <v>71</v>
      </c>
    </row>
    <row r="9" spans="1:4" ht="13.9" x14ac:dyDescent="0.4">
      <c r="B9" s="140" t="s">
        <v>221</v>
      </c>
      <c r="C9" s="193" t="s">
        <v>268</v>
      </c>
    </row>
    <row r="10" spans="1:4" ht="13.9" x14ac:dyDescent="0.4">
      <c r="B10" s="140" t="s">
        <v>222</v>
      </c>
      <c r="C10" s="194">
        <v>3585854271</v>
      </c>
    </row>
    <row r="11" spans="1:4" ht="13.9" x14ac:dyDescent="0.4">
      <c r="B11" s="140" t="s">
        <v>223</v>
      </c>
      <c r="C11" s="193" t="s">
        <v>269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224</v>
      </c>
      <c r="C14" s="220">
        <v>45473</v>
      </c>
    </row>
    <row r="15" spans="1:4" ht="13.9" x14ac:dyDescent="0.4">
      <c r="B15" s="219" t="s">
        <v>265</v>
      </c>
      <c r="C15" s="177" t="s">
        <v>270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229</v>
      </c>
      <c r="C17" s="243" t="s">
        <v>237</v>
      </c>
      <c r="D17" s="24"/>
    </row>
    <row r="18" spans="2:13" ht="13.9" x14ac:dyDescent="0.4">
      <c r="B18" s="241" t="s">
        <v>247</v>
      </c>
      <c r="C18" s="243" t="s">
        <v>254</v>
      </c>
      <c r="D18" s="24"/>
    </row>
    <row r="19" spans="2:13" ht="13.9" x14ac:dyDescent="0.4">
      <c r="B19" s="241" t="s">
        <v>248</v>
      </c>
      <c r="C19" s="243" t="s">
        <v>238</v>
      </c>
      <c r="D19" s="24"/>
    </row>
    <row r="20" spans="2:13" ht="13.9" x14ac:dyDescent="0.4">
      <c r="B20" s="242" t="s">
        <v>233</v>
      </c>
      <c r="C20" s="243" t="s">
        <v>238</v>
      </c>
      <c r="D20" s="24"/>
    </row>
    <row r="21" spans="2:13" ht="13.9" x14ac:dyDescent="0.4">
      <c r="B21" s="225" t="s">
        <v>239</v>
      </c>
      <c r="C21" s="243" t="s">
        <v>237</v>
      </c>
      <c r="D21" s="24"/>
    </row>
    <row r="22" spans="2:13" ht="78.75" x14ac:dyDescent="0.4">
      <c r="B22" s="227" t="s">
        <v>235</v>
      </c>
      <c r="C22" s="244" t="s">
        <v>236</v>
      </c>
      <c r="D22" s="24"/>
    </row>
    <row r="24" spans="2:13" ht="13.9" x14ac:dyDescent="0.4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124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211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262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258</v>
      </c>
      <c r="C47" s="195" t="s">
        <v>34</v>
      </c>
      <c r="D47" s="195" t="s">
        <v>200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137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161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162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225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259</v>
      </c>
      <c r="C86" s="198">
        <v>5</v>
      </c>
    </row>
    <row r="87" spans="2:8" ht="13.9" x14ac:dyDescent="0.4">
      <c r="B87" s="10" t="s">
        <v>257</v>
      </c>
      <c r="C87" s="237" t="s">
        <v>260</v>
      </c>
    </row>
    <row r="89" spans="2:8" ht="13.5" x14ac:dyDescent="0.35">
      <c r="B89" s="106" t="s">
        <v>129</v>
      </c>
      <c r="C89" s="268">
        <f>C24</f>
        <v>45291</v>
      </c>
      <c r="D89" s="268"/>
      <c r="E89" s="89" t="s">
        <v>210</v>
      </c>
      <c r="F89" s="50" t="s">
        <v>209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128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106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256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124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255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C31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175</v>
      </c>
      <c r="C97" s="77">
        <f>MAX(C30,0)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211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3" sqref="G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198</v>
      </c>
      <c r="C3" s="274" t="str">
        <f>Inputs!C4</f>
        <v>0268.HK</v>
      </c>
      <c r="D3" s="275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199</v>
      </c>
      <c r="C4" s="276" t="str">
        <f>Inputs!C5</f>
        <v>金蝶国际</v>
      </c>
      <c r="D4" s="277"/>
      <c r="E4" s="87"/>
      <c r="F4" s="3" t="s">
        <v>3</v>
      </c>
      <c r="G4" s="280">
        <f>Inputs!C10</f>
        <v>3585854271</v>
      </c>
      <c r="H4" s="280"/>
      <c r="I4" s="39"/>
    </row>
    <row r="5" spans="1:10" ht="15.75" customHeight="1" x14ac:dyDescent="0.4">
      <c r="B5" s="3" t="s">
        <v>166</v>
      </c>
      <c r="C5" s="278">
        <f>Inputs!C6</f>
        <v>45603</v>
      </c>
      <c r="D5" s="279"/>
      <c r="E5" s="34"/>
      <c r="F5" s="35" t="s">
        <v>100</v>
      </c>
      <c r="G5" s="272">
        <f>G3*G4/1000000</f>
        <v>52998.925167853609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196</v>
      </c>
      <c r="C7" s="188" t="str">
        <f>Inputs!C8</f>
        <v>N</v>
      </c>
      <c r="D7" s="188" t="str">
        <f>Inputs!C9</f>
        <v>C0009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194</v>
      </c>
      <c r="F9" s="143" t="s">
        <v>189</v>
      </c>
    </row>
    <row r="10" spans="1:10" ht="15.75" customHeight="1" x14ac:dyDescent="0.4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4">
        <v>0.16</v>
      </c>
      <c r="D16" s="266" t="str">
        <f>Inputs!C15</f>
        <v>CN</v>
      </c>
      <c r="F16" s="110" t="s">
        <v>182</v>
      </c>
    </row>
    <row r="17" spans="1:8" ht="15.75" customHeight="1" thickTop="1" x14ac:dyDescent="0.4">
      <c r="B17" s="87" t="s">
        <v>264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4">
      <c r="B20" s="137" t="s">
        <v>172</v>
      </c>
      <c r="C20" s="172">
        <f>Fin_Analysis!I75</f>
        <v>0.35834792051449244</v>
      </c>
      <c r="F20" s="87" t="s">
        <v>215</v>
      </c>
      <c r="G20" s="173">
        <v>0.15</v>
      </c>
    </row>
    <row r="21" spans="1:8" ht="15.75" customHeight="1" x14ac:dyDescent="0.4">
      <c r="B21" s="137" t="s">
        <v>253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195</v>
      </c>
      <c r="C22" s="172">
        <f>Fin_Analysis!I78</f>
        <v>0</v>
      </c>
      <c r="F22" s="142" t="s">
        <v>188</v>
      </c>
    </row>
    <row r="23" spans="1:8" ht="15.75" customHeight="1" x14ac:dyDescent="0.4">
      <c r="B23" s="137" t="s">
        <v>174</v>
      </c>
      <c r="C23" s="172">
        <f>Fin_Analysis!I80</f>
        <v>0</v>
      </c>
      <c r="F23" s="140" t="s">
        <v>192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173</v>
      </c>
      <c r="C24" s="172">
        <f>Fin_Analysis!I81</f>
        <v>3.8655956702792868E-3</v>
      </c>
      <c r="F24" s="140" t="s">
        <v>178</v>
      </c>
      <c r="G24" s="179">
        <f>(Fin_Analysis!H86*G7)/G3</f>
        <v>-8.8762743491511455E-3</v>
      </c>
    </row>
    <row r="25" spans="1:8" ht="15.75" customHeight="1" x14ac:dyDescent="0.4">
      <c r="B25" s="137" t="s">
        <v>252</v>
      </c>
      <c r="C25" s="172">
        <f>Fin_Analysis!I82</f>
        <v>0</v>
      </c>
      <c r="F25" s="140" t="s">
        <v>177</v>
      </c>
      <c r="G25" s="172">
        <f>Fin_Analysis!I88</f>
        <v>0</v>
      </c>
    </row>
    <row r="26" spans="1:8" ht="15.75" customHeight="1" x14ac:dyDescent="0.4">
      <c r="B26" s="138" t="s">
        <v>176</v>
      </c>
      <c r="C26" s="172">
        <f>Fin_Analysis!I83</f>
        <v>-0.11044830732057855</v>
      </c>
      <c r="F26" s="141" t="s">
        <v>197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245</v>
      </c>
      <c r="G28" s="270" t="s">
        <v>246</v>
      </c>
      <c r="H28" s="270"/>
    </row>
    <row r="29" spans="1:8" ht="15.75" customHeight="1" x14ac:dyDescent="0.4">
      <c r="B29" s="87" t="s">
        <v>171</v>
      </c>
      <c r="C29" s="130">
        <f>IF(Fin_Analysis!C108="Profit",Fin_Analysis!D100,IF(Fin_Analysis!C108="Dividend",Fin_Analysis!D103,Fin_Analysis!D106))</f>
        <v>0</v>
      </c>
      <c r="D29" s="129">
        <f>IF(Fin_Analysis!C108="Profit",Fin_Analysis!I100,IF(Fin_Analysis!C108="Dividend",Fin_Analysis!I103,Fin_Analysis!I106))</f>
        <v>0</v>
      </c>
      <c r="E29" s="87"/>
      <c r="F29" s="131">
        <f>IF(Fin_Analysis!C108="Profit",Fin_Analysis!F100,IF(Fin_Analysis!C108="Dividend",Fin_Analysis!F103,Fin_Analysis!F106))</f>
        <v>0</v>
      </c>
      <c r="G29" s="271">
        <f>IF(Fin_Analysis!C108="Profit",Fin_Analysis!E100,IF(Fin_Analysis!C108="Dividend",Fin_Analysis!E103,Fin_Analysis!E106))</f>
        <v>0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227</v>
      </c>
      <c r="C31"/>
    </row>
    <row r="32" spans="1:8" ht="15.75" customHeight="1" x14ac:dyDescent="0.4">
      <c r="A32"/>
      <c r="B32" s="197" t="s">
        <v>228</v>
      </c>
      <c r="C32" s="225"/>
    </row>
    <row r="33" spans="1:3" ht="15.75" customHeight="1" x14ac:dyDescent="0.4">
      <c r="A33"/>
      <c r="B33" s="20" t="s">
        <v>229</v>
      </c>
      <c r="C33" s="246" t="str">
        <f>Inputs!C17</f>
        <v>Strongly agree</v>
      </c>
    </row>
    <row r="34" spans="1:3" ht="15.75" customHeight="1" x14ac:dyDescent="0.4">
      <c r="A34"/>
      <c r="B34" s="19" t="s">
        <v>230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231</v>
      </c>
      <c r="C35" s="225"/>
    </row>
    <row r="36" spans="1:3" ht="15.75" customHeight="1" x14ac:dyDescent="0.4">
      <c r="A36"/>
      <c r="B36" s="20" t="s">
        <v>247</v>
      </c>
      <c r="C36" s="246" t="str">
        <f>Inputs!C18</f>
        <v>unclear</v>
      </c>
    </row>
    <row r="37" spans="1:3" ht="15.75" customHeight="1" x14ac:dyDescent="0.4">
      <c r="A37"/>
      <c r="B37" s="20" t="s">
        <v>248</v>
      </c>
      <c r="C37" s="246" t="str">
        <f>Inputs!C19</f>
        <v>agree</v>
      </c>
    </row>
    <row r="38" spans="1:3" ht="15.75" customHeight="1" x14ac:dyDescent="0.4">
      <c r="A38"/>
      <c r="B38" s="197" t="s">
        <v>232</v>
      </c>
      <c r="C38" s="225"/>
    </row>
    <row r="39" spans="1:3" ht="15.75" customHeight="1" x14ac:dyDescent="0.4">
      <c r="A39"/>
      <c r="B39" s="19" t="s">
        <v>233</v>
      </c>
      <c r="C39" s="246" t="str">
        <f>Inputs!C20</f>
        <v>agree</v>
      </c>
    </row>
    <row r="40" spans="1:3" ht="15.75" customHeight="1" x14ac:dyDescent="0.4">
      <c r="A40"/>
      <c r="B40" s="1" t="s">
        <v>239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234</v>
      </c>
      <c r="C42"/>
    </row>
    <row r="43" spans="1:3" ht="65.650000000000006" x14ac:dyDescent="0.4">
      <c r="A43"/>
      <c r="B43" s="227" t="s">
        <v>235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9" zoomScaleNormal="100" workbookViewId="0">
      <pane xSplit="2" topLeftCell="C1" activePane="topRight" state="frozen"/>
      <selection activeCell="A4" sqref="A4"/>
      <selection pane="topRight" activeCell="B21" sqref="B21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204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205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249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250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241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251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243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130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242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244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6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8">
        <f>Data!C5</f>
        <v>45291</v>
      </c>
      <c r="D72" s="268"/>
      <c r="E72" s="282" t="s">
        <v>210</v>
      </c>
      <c r="F72" s="282"/>
      <c r="H72" s="282" t="s">
        <v>209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128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96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256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175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240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133</v>
      </c>
    </row>
    <row r="81" spans="1:11" ht="15" customHeight="1" x14ac:dyDescent="0.4">
      <c r="B81" s="104" t="s">
        <v>124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255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127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167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163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212</v>
      </c>
      <c r="C87" s="262">
        <f>C86*Exchange_Rate/Dashboard!G3</f>
        <v>-8.8762743491511455E-3</v>
      </c>
      <c r="D87" s="210"/>
      <c r="E87" s="263">
        <f>E86*Exchange_Rate/Dashboard!G3</f>
        <v>-8.8762743491511455E-3</v>
      </c>
      <c r="F87" s="210"/>
      <c r="H87" s="263">
        <f>H86*Exchange_Rate/Dashboard!G3</f>
        <v>-8.8762743491511455E-3</v>
      </c>
      <c r="I87" s="210"/>
      <c r="K87" s="24"/>
    </row>
    <row r="88" spans="1:11" ht="15" customHeight="1" x14ac:dyDescent="0.4">
      <c r="B88" s="86" t="s">
        <v>211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226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199" t="str">
        <f>Inputs!C15</f>
        <v>CN</v>
      </c>
      <c r="D92" s="10" t="s">
        <v>159</v>
      </c>
      <c r="E92" s="282" t="s">
        <v>210</v>
      </c>
      <c r="F92" s="282"/>
      <c r="G92" s="87"/>
      <c r="H92" s="282" t="s">
        <v>209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213</v>
      </c>
      <c r="F93" s="144">
        <f>FV(E87,D93,0,-(E86/C93))</f>
        <v>-1.7426573770237705</v>
      </c>
      <c r="H93" s="87" t="s">
        <v>213</v>
      </c>
      <c r="I93" s="144">
        <f>FV(H87,D93,0,-(H86/C93))</f>
        <v>-1.7426573770237705</v>
      </c>
      <c r="K93" s="24"/>
    </row>
    <row r="94" spans="1:11" ht="15" customHeight="1" x14ac:dyDescent="0.4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0</v>
      </c>
      <c r="H94" s="87" t="s">
        <v>214</v>
      </c>
      <c r="I94" s="144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245</v>
      </c>
      <c r="H96" s="184" t="str">
        <f>H72</f>
        <v>Base Case</v>
      </c>
      <c r="I96" s="124" t="s">
        <v>217</v>
      </c>
      <c r="K96" s="24"/>
    </row>
    <row r="97" spans="2:11" ht="15" customHeight="1" x14ac:dyDescent="0.4">
      <c r="B97" s="1" t="s">
        <v>132</v>
      </c>
      <c r="C97" s="91">
        <f>H97*Common_Shares/Data!C4</f>
        <v>-3106815.3568772064</v>
      </c>
      <c r="D97" s="214"/>
      <c r="E97" s="123">
        <f>PV(C94,D93,0,-F93)*Exchange_Rate</f>
        <v>-0.86640870545215931</v>
      </c>
      <c r="F97" s="214"/>
      <c r="H97" s="123">
        <f>PV(C94,D93,0,-I93)*Exchange_Rate</f>
        <v>-0.86640870545215931</v>
      </c>
      <c r="I97" s="123">
        <f>PV(C93,D93,0,-I93)*Exchange_Rate</f>
        <v>-1.2309433949097373</v>
      </c>
      <c r="K97" s="24"/>
    </row>
    <row r="98" spans="2:11" ht="15" customHeight="1" x14ac:dyDescent="0.4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-3106815.3568772064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245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4">
      <c r="B103" s="1" t="s">
        <v>164</v>
      </c>
      <c r="C103" s="91">
        <f>H103*Common_Shares/Data!C4</f>
        <v>0</v>
      </c>
      <c r="D103" s="109">
        <f>MIN(F103*(1-C94),E103)</f>
        <v>0</v>
      </c>
      <c r="E103" s="123">
        <f>PV(C94,D93,0,-F94)*Exchange_Rate</f>
        <v>0</v>
      </c>
      <c r="F103" s="109">
        <f>(E103+H103)/2</f>
        <v>0</v>
      </c>
      <c r="H103" s="123">
        <f>PV(C94,D93,0,-I94)*Exchange_Rate</f>
        <v>0</v>
      </c>
      <c r="I103" s="109">
        <f>PV(C93,D93,0,-I94)*Exchange_Rate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245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4">
      <c r="B106" s="1" t="s">
        <v>202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2024-11-28T02:34:59Z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