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2A1510D8-DC80-443A-8EE5-5A20367CB42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44" i="4" l="1"/>
  <c r="C95" i="4" l="1"/>
  <c r="C82" i="3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7" i="4"/>
  <c r="C96" i="4"/>
  <c r="C94" i="4"/>
  <c r="C93" i="4"/>
  <c r="C92" i="4"/>
  <c r="C91" i="4"/>
  <c r="E91" i="4" s="1"/>
  <c r="F91" i="4" l="1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93" i="4" l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H77" i="3" s="1"/>
  <c r="F92" i="4"/>
  <c r="H75" i="3" s="1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H103" i="3" l="1"/>
  <c r="C103" i="3" s="1"/>
  <c r="I103" i="3"/>
  <c r="C50" i="2"/>
  <c r="C51" i="2"/>
  <c r="E103" i="3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I85" i="3" l="1"/>
  <c r="H86" i="3"/>
  <c r="F93" i="3"/>
  <c r="E97" i="3" s="1"/>
  <c r="E100" i="3" s="1"/>
  <c r="H87" i="3" l="1"/>
  <c r="I93" i="3" s="1"/>
  <c r="I88" i="3"/>
  <c r="G25" i="1" s="1"/>
  <c r="G24" i="1"/>
  <c r="E106" i="3"/>
  <c r="G29" i="1" s="1"/>
  <c r="H97" i="3" l="1"/>
  <c r="C97" i="3" s="1"/>
  <c r="C100" i="3" s="1"/>
  <c r="H100" i="3" s="1"/>
  <c r="I97" i="3"/>
  <c r="I100" i="3" s="1"/>
  <c r="I106" i="3" s="1"/>
  <c r="D29" i="1" s="1"/>
  <c r="C106" i="3"/>
  <c r="H106" i="3" l="1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<sst xmlns="http://schemas.openxmlformats.org/spreadsheetml/2006/main" count="391" uniqueCount="270">
  <si>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</si>
  <si>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</si>
  <si>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</si>
  <si>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</si>
  <si>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</si>
  <si>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</si>
  <si>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</si>
  <si>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</si>
  <si>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</si>
  <si>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</si>
  <si>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</si>
  <si>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</si>
  <si>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</si>
  <si>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</si>
  <si>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</si>
  <si>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</si>
  <si>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</si>
  <si>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</si>
  <si>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</si>
  <si>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</si>
  <si>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</si>
  <si>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</si>
  <si>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</si>
  <si>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</si>
  <si>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</si>
  <si>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</si>
  <si>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</si>
  <si>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</si>
  <si>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</si>
  <si>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</si>
  <si>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</si>
  <si>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</si>
  <si>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</si>
  <si>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</si>
  <si>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</si>
  <si>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</si>
  <si>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</si>
  <si>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</si>
  <si>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</si>
  <si>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</si>
  <si>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</si>
  <si>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</si>
  <si>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</si>
  <si>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</si>
  <si>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</si>
  <si>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</si>
  <si>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</si>
  <si>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</si>
  <si>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</si>
  <si>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</si>
  <si>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</si>
  <si>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</si>
  <si>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</si>
  <si>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</si>
  <si>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</si>
  <si>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</si>
  <si>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</si>
  <si>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</si>
  <si>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</si>
  <si>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</si>
  <si>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</si>
  <si>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</si>
  <si>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</si>
  <si>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</si>
  <si>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</si>
  <si>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</si>
  <si>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</si>
  <si>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</si>
  <si>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</si>
  <si>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</si>
  <si>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</si>
  <si>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</si>
  <si>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</si>
  <si>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</si>
  <si>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</si>
  <si>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</si>
  <si>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</si>
  <si>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</si>
  <si>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</si>
  <si>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</si>
  <si>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</si>
  <si>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</si>
  <si>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</si>
  <si>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</si>
  <si>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</si>
  <si>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</si>
  <si>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</si>
  <si>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</si>
  <si>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</si>
  <si>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</si>
  <si>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</si>
  <si>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</si>
  <si>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</si>
  <si>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</si>
  <si>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</si>
  <si>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</si>
  <si>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</si>
  <si>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</si>
  <si>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</si>
  <si>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</si>
  <si>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</si>
  <si>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</si>
  <si>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</si>
  <si>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</si>
  <si>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</si>
  <si>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</si>
  <si>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</si>
  <si>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</si>
  <si>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</si>
  <si>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</si>
  <si>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</si>
  <si>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</si>
  <si>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</si>
  <si>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</si>
  <si>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</si>
  <si>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</si>
  <si>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</si>
  <si>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</si>
  <si>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</si>
  <si>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</si>
  <si>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</si>
  <si>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</si>
  <si>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</si>
  <si>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</si>
  <si>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</si>
  <si>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</si>
  <si>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</si>
  <si>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</si>
  <si>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</si>
  <si>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</si>
  <si>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</si>
  <si>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</si>
  <si>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</si>
  <si>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</si>
  <si>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</si>
  <si>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</si>
  <si>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</si>
  <si>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</si>
  <si>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</si>
  <si>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</si>
  <si>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</si>
  <si>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</si>
  <si>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</si>
  <si>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</si>
  <si>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</si>
  <si>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</si>
  <si>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</si>
  <si>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</si>
  <si>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</si>
  <si>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</si>
  <si>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</si>
  <si>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</si>
  <si>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</si>
  <si>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</si>
  <si>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</si>
  <si>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</si>
  <si>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</si>
  <si>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</si>
  <si>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</si>
  <si>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</si>
  <si>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</si>
  <si>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</si>
  <si>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</si>
  <si>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</si>
  <si>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</si>
  <si>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</si>
  <si>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</si>
  <si>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</si>
  <si>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</si>
  <si>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</si>
  <si>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</si>
  <si>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</si>
  <si>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</si>
  <si>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</si>
  <si>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</si>
  <si>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</si>
  <si>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</si>
  <si>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</si>
  <si>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</si>
  <si>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</si>
  <si>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</si>
  <si>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</si>
  <si>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</si>
  <si>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</si>
  <si>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</si>
  <si>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</si>
  <si>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</si>
  <si>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</si>
  <si>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</si>
  <si>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</si>
  <si>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</si>
  <si>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</si>
  <si>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</si>
  <si>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</si>
  <si>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</si>
  <si>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</si>
  <si>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</si>
  <si>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</si>
  <si>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</si>
  <si>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</si>
  <si>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</si>
  <si>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</si>
  <si>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</si>
  <si>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</si>
  <si>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</si>
  <si>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</si>
  <si>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</si>
  <si>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</si>
  <si>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</si>
  <si>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</si>
  <si>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</si>
  <si>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</si>
  <si>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</si>
  <si>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</si>
  <si>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</si>
  <si>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</si>
  <si>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</si>
  <si>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</si>
  <si>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</si>
  <si>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</si>
  <si>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</si>
  <si>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</si>
  <si>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</si>
  <si>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</si>
  <si>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</si>
  <si>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</si>
  <si>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</si>
  <si>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</si>
  <si>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</si>
  <si>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</si>
  <si>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</si>
  <si>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</si>
  <si>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</si>
  <si>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</si>
  <si>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</si>
  <si>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</si>
  <si>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</si>
  <si>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</si>
  <si>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</si>
  <si>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</si>
  <si>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</si>
  <si>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</si>
  <si>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</si>
  <si>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</si>
  <si>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</si>
  <si>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</si>
  <si>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</si>
  <si>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</si>
  <si>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</si>
  <si>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</si>
  <si>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</si>
  <si>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</si>
  <si>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</si>
  <si>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</si>
  <si>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</si>
  <si>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</si>
  <si>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</si>
  <si>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</si>
  <si>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</si>
  <si>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</si>
  <si>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</si>
  <si>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</si>
  <si>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</si>
  <si>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</si>
  <si>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</si>
  <si>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0468.HK</t>
  </si>
  <si>
    <t>紛美包裝</t>
  </si>
  <si>
    <t>C0007</t>
  </si>
  <si>
    <t>CNY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</si>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</sst>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0.82154354610382485</c:v>
                </c:pt>
                <c:pt idx="1">
                  <c:v>0.1102707353696761</c:v>
                </c:pt>
                <c:pt idx="2">
                  <c:v>0</c:v>
                </c:pt>
                <c:pt idx="3">
                  <c:v>0</c:v>
                </c:pt>
                <c:pt idx="4">
                  <c:v>1.9909979330197799E-3</c:v>
                </c:pt>
                <c:pt idx="5">
                  <c:v>0</c:v>
                </c:pt>
                <c:pt idx="6">
                  <c:v>6.6194720593479306E-2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C8" sqref="C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219</v>
      </c>
    </row>
    <row r="4" spans="1:4" ht="13.9" x14ac:dyDescent="0.4">
      <c r="B4" s="141" t="s">
        <v>198</v>
      </c>
      <c r="C4" s="189" t="s">
        <v>265</v>
      </c>
    </row>
    <row r="5" spans="1:4" ht="13.9" x14ac:dyDescent="0.4">
      <c r="B5" s="141" t="s">
        <v>199</v>
      </c>
      <c r="C5" s="192" t="s">
        <v>266</v>
      </c>
    </row>
    <row r="6" spans="1:4" ht="13.9" x14ac:dyDescent="0.4">
      <c r="B6" s="141" t="s">
        <v>166</v>
      </c>
      <c r="C6" s="190">
        <v>45605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220</v>
      </c>
      <c r="C8" s="192" t="s">
        <v>46</v>
      </c>
    </row>
    <row r="9" spans="1:4" ht="13.9" x14ac:dyDescent="0.4">
      <c r="B9" s="140" t="s">
        <v>221</v>
      </c>
      <c r="C9" s="193" t="s">
        <v>267</v>
      </c>
    </row>
    <row r="10" spans="1:4" ht="13.9" x14ac:dyDescent="0.4">
      <c r="B10" s="140" t="s">
        <v>222</v>
      </c>
      <c r="C10" s="194">
        <v>1407129000</v>
      </c>
    </row>
    <row r="11" spans="1:4" ht="13.9" x14ac:dyDescent="0.4">
      <c r="B11" s="140" t="s">
        <v>223</v>
      </c>
      <c r="C11" s="193" t="s">
        <v>268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224</v>
      </c>
      <c r="C14" s="220">
        <v>45473</v>
      </c>
    </row>
    <row r="15" spans="1:4" ht="13.9" x14ac:dyDescent="0.4">
      <c r="B15" s="219" t="s">
        <v>264</v>
      </c>
      <c r="C15" s="177" t="s">
        <v>269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229</v>
      </c>
      <c r="C17" s="243" t="s">
        <v>237</v>
      </c>
      <c r="D17" s="24"/>
    </row>
    <row r="18" spans="2:13" ht="13.9" x14ac:dyDescent="0.4">
      <c r="B18" s="241" t="s">
        <v>246</v>
      </c>
      <c r="C18" s="243" t="s">
        <v>253</v>
      </c>
      <c r="D18" s="24"/>
    </row>
    <row r="19" spans="2:13" ht="13.9" x14ac:dyDescent="0.4">
      <c r="B19" s="241" t="s">
        <v>247</v>
      </c>
      <c r="C19" s="243" t="s">
        <v>237</v>
      </c>
      <c r="D19" s="24"/>
    </row>
    <row r="20" spans="2:13" ht="13.9" x14ac:dyDescent="0.4">
      <c r="B20" s="242" t="s">
        <v>233</v>
      </c>
      <c r="C20" s="243" t="s">
        <v>237</v>
      </c>
      <c r="D20" s="24"/>
    </row>
    <row r="21" spans="2:13" ht="13.9" x14ac:dyDescent="0.4">
      <c r="B21" s="225" t="s">
        <v>238</v>
      </c>
      <c r="C21" s="243" t="s">
        <v>253</v>
      </c>
      <c r="D21" s="24"/>
    </row>
    <row r="22" spans="2:13" ht="78.75" x14ac:dyDescent="0.4">
      <c r="B22" s="227" t="s">
        <v>235</v>
      </c>
      <c r="C22" s="244" t="s">
        <v>236</v>
      </c>
      <c r="D22" s="24"/>
    </row>
    <row r="24" spans="2:13" ht="13.9" x14ac:dyDescent="0.4">
      <c r="B24" s="115" t="s">
        <v>135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3816679</v>
      </c>
      <c r="D25" s="150">
        <v>3937011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3135568</v>
      </c>
      <c r="D26" s="151">
        <v>3349048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420868</v>
      </c>
      <c r="D27" s="151">
        <v>424202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124</v>
      </c>
      <c r="C29" s="151">
        <v>7599</v>
      </c>
      <c r="D29" s="151">
        <v>5443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150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139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140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138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211</v>
      </c>
      <c r="C44" s="251">
        <f>0.06+0.04</f>
        <v>0.1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261</v>
      </c>
      <c r="C45" s="153">
        <f>IF(C44="","",C44*Exchange_Rate/Dashboard!$G$3)</f>
        <v>4.3673468537749623E-2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257</v>
      </c>
      <c r="C47" s="195" t="s">
        <v>34</v>
      </c>
      <c r="D47" s="195" t="s">
        <v>200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137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161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162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225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258</v>
      </c>
      <c r="C86" s="198">
        <v>5</v>
      </c>
    </row>
    <row r="87" spans="2:8" ht="13.9" x14ac:dyDescent="0.4">
      <c r="B87" s="10" t="s">
        <v>256</v>
      </c>
      <c r="C87" s="237" t="s">
        <v>259</v>
      </c>
    </row>
    <row r="89" spans="2:8" ht="13.5" x14ac:dyDescent="0.35">
      <c r="B89" s="106" t="s">
        <v>129</v>
      </c>
      <c r="C89" s="268">
        <f>C24</f>
        <v>45291</v>
      </c>
      <c r="D89" s="268"/>
      <c r="E89" s="89" t="s">
        <v>210</v>
      </c>
      <c r="F89" s="50" t="s">
        <v>209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128</v>
      </c>
      <c r="C91" s="77">
        <f>C25</f>
        <v>3816679</v>
      </c>
      <c r="D91" s="210"/>
      <c r="E91" s="252">
        <f>C91</f>
        <v>3816679</v>
      </c>
      <c r="F91" s="252">
        <f>C91</f>
        <v>3816679</v>
      </c>
    </row>
    <row r="92" spans="2:8" ht="13.9" x14ac:dyDescent="0.4">
      <c r="B92" s="104" t="s">
        <v>106</v>
      </c>
      <c r="C92" s="77">
        <f>C26</f>
        <v>3135568</v>
      </c>
      <c r="D92" s="160">
        <f>C92/C91</f>
        <v>0.82154354610382485</v>
      </c>
      <c r="E92" s="253">
        <f>E91*D92</f>
        <v>3135568</v>
      </c>
      <c r="F92" s="253">
        <f>F91*D92</f>
        <v>3135568</v>
      </c>
    </row>
    <row r="93" spans="2:8" ht="13.9" x14ac:dyDescent="0.4">
      <c r="B93" s="104" t="s">
        <v>255</v>
      </c>
      <c r="C93" s="77">
        <f>C27+C28</f>
        <v>420868</v>
      </c>
      <c r="D93" s="160">
        <f>C93/C91</f>
        <v>0.1102707353696761</v>
      </c>
      <c r="E93" s="253">
        <f>E91*D93</f>
        <v>420868</v>
      </c>
      <c r="F93" s="253">
        <f>F91*D93</f>
        <v>420868</v>
      </c>
    </row>
    <row r="94" spans="2:8" ht="13.9" x14ac:dyDescent="0.4">
      <c r="B94" s="104" t="s">
        <v>124</v>
      </c>
      <c r="C94" s="77">
        <f>C29</f>
        <v>7599</v>
      </c>
      <c r="D94" s="160">
        <f>C94/C91</f>
        <v>1.9909979330197799E-3</v>
      </c>
      <c r="E94" s="254"/>
      <c r="F94" s="253">
        <f>F91*D94</f>
        <v>7599.0000000000009</v>
      </c>
    </row>
    <row r="95" spans="2:8" ht="13.9" x14ac:dyDescent="0.4">
      <c r="B95" s="28" t="s">
        <v>254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C31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175</v>
      </c>
      <c r="C97" s="77">
        <f>MAX(C30,0)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211</v>
      </c>
      <c r="C98" s="238">
        <f>C44</f>
        <v>0.1</v>
      </c>
      <c r="D98" s="267"/>
      <c r="E98" s="255">
        <f>F98</f>
        <v>0.06</v>
      </c>
      <c r="F98" s="255"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G8" sqref="G8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87"/>
      <c r="E2" s="7"/>
      <c r="F2" s="7"/>
      <c r="G2" s="86"/>
      <c r="H2" s="86"/>
    </row>
    <row r="3" spans="1:10" ht="15.75" customHeight="1" x14ac:dyDescent="0.4">
      <c r="B3" s="3" t="s">
        <v>198</v>
      </c>
      <c r="C3" s="274" t="str">
        <f>Inputs!C4</f>
        <v>0468.HK</v>
      </c>
      <c r="D3" s="275"/>
      <c r="E3" s="87"/>
      <c r="F3" s="3" t="s">
        <v>1</v>
      </c>
      <c r="G3" s="132">
        <v>2.4500000476837198</v>
      </c>
      <c r="H3" s="134" t="s">
        <v>2</v>
      </c>
    </row>
    <row r="4" spans="1:10" ht="15.75" customHeight="1" x14ac:dyDescent="0.4">
      <c r="B4" s="35" t="s">
        <v>199</v>
      </c>
      <c r="C4" s="276" t="str">
        <f>Inputs!C5</f>
        <v>紛美包裝</v>
      </c>
      <c r="D4" s="277"/>
      <c r="E4" s="87"/>
      <c r="F4" s="3" t="s">
        <v>3</v>
      </c>
      <c r="G4" s="280">
        <f>Inputs!C10</f>
        <v>1407129000</v>
      </c>
      <c r="H4" s="280"/>
      <c r="I4" s="39"/>
    </row>
    <row r="5" spans="1:10" ht="15.75" customHeight="1" x14ac:dyDescent="0.4">
      <c r="B5" s="3" t="s">
        <v>166</v>
      </c>
      <c r="C5" s="278">
        <f>Inputs!C6</f>
        <v>45605</v>
      </c>
      <c r="D5" s="279"/>
      <c r="E5" s="34"/>
      <c r="F5" s="35" t="s">
        <v>100</v>
      </c>
      <c r="G5" s="272">
        <f>G3*G4/1000000</f>
        <v>3447.4661170971449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196</v>
      </c>
      <c r="C7" s="188" t="str">
        <f>Inputs!C8</f>
        <v>Y</v>
      </c>
      <c r="D7" s="188" t="str">
        <f>Inputs!C9</f>
        <v>C0007</v>
      </c>
      <c r="E7" s="87"/>
      <c r="F7" s="35" t="s">
        <v>6</v>
      </c>
      <c r="G7" s="133">
        <v>1.07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194</v>
      </c>
      <c r="F9" s="143" t="s">
        <v>189</v>
      </c>
    </row>
    <row r="10" spans="1:10" ht="15.75" customHeight="1" x14ac:dyDescent="0.4">
      <c r="B10" s="1" t="s">
        <v>179</v>
      </c>
      <c r="C10" s="173">
        <v>4.2099999999999999E-2</v>
      </c>
      <c r="F10" s="110" t="s">
        <v>186</v>
      </c>
    </row>
    <row r="11" spans="1:10" ht="15.75" customHeight="1" thickBot="1" x14ac:dyDescent="0.45">
      <c r="B11" s="122" t="s">
        <v>183</v>
      </c>
      <c r="C11" s="174">
        <v>5.3099999999999994E-2</v>
      </c>
      <c r="D11" s="137" t="s">
        <v>193</v>
      </c>
      <c r="F11" s="110" t="s">
        <v>181</v>
      </c>
    </row>
    <row r="12" spans="1:10" ht="15.75" customHeight="1" thickTop="1" x14ac:dyDescent="0.4">
      <c r="B12" s="87" t="s">
        <v>262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180</v>
      </c>
      <c r="C14" s="173">
        <v>2.1309999999999999E-2</v>
      </c>
      <c r="F14" s="110" t="s">
        <v>185</v>
      </c>
    </row>
    <row r="15" spans="1:10" ht="15.75" customHeight="1" x14ac:dyDescent="0.4">
      <c r="B15" s="1" t="s">
        <v>190</v>
      </c>
      <c r="C15" s="173">
        <v>6.5000000000000002E-2</v>
      </c>
      <c r="F15" s="110" t="s">
        <v>184</v>
      </c>
    </row>
    <row r="16" spans="1:10" ht="15.75" customHeight="1" thickBot="1" x14ac:dyDescent="0.45">
      <c r="B16" s="122" t="s">
        <v>191</v>
      </c>
      <c r="C16" s="174">
        <v>0.16</v>
      </c>
      <c r="D16" s="266" t="str">
        <f>Inputs!C15</f>
        <v>CN</v>
      </c>
      <c r="F16" s="110" t="s">
        <v>182</v>
      </c>
    </row>
    <row r="17" spans="1:8" ht="15.75" customHeight="1" thickTop="1" x14ac:dyDescent="0.4">
      <c r="B17" s="87" t="s">
        <v>263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187</v>
      </c>
      <c r="C19" s="135" t="s">
        <v>52</v>
      </c>
      <c r="D19" s="87"/>
      <c r="E19" s="87"/>
      <c r="F19" s="142" t="s">
        <v>216</v>
      </c>
      <c r="G19" s="87"/>
      <c r="H19" s="87"/>
    </row>
    <row r="20" spans="1:8" ht="15.75" customHeight="1" x14ac:dyDescent="0.4">
      <c r="B20" s="137" t="s">
        <v>172</v>
      </c>
      <c r="C20" s="172">
        <f>Fin_Analysis!I75</f>
        <v>0.82154354610382485</v>
      </c>
      <c r="F20" s="87" t="s">
        <v>215</v>
      </c>
      <c r="G20" s="173">
        <v>0.15</v>
      </c>
    </row>
    <row r="21" spans="1:8" ht="15.75" customHeight="1" x14ac:dyDescent="0.4">
      <c r="B21" s="137" t="s">
        <v>252</v>
      </c>
      <c r="C21" s="172">
        <f>Fin_Analysis!I77</f>
        <v>0.1102707353696761</v>
      </c>
      <c r="F21" s="87"/>
      <c r="G21" s="29"/>
    </row>
    <row r="22" spans="1:8" ht="15.75" customHeight="1" x14ac:dyDescent="0.4">
      <c r="B22" s="137" t="s">
        <v>195</v>
      </c>
      <c r="C22" s="172">
        <f>Fin_Analysis!I78</f>
        <v>0</v>
      </c>
      <c r="F22" s="142" t="s">
        <v>188</v>
      </c>
    </row>
    <row r="23" spans="1:8" ht="15.75" customHeight="1" x14ac:dyDescent="0.4">
      <c r="B23" s="137" t="s">
        <v>174</v>
      </c>
      <c r="C23" s="172">
        <f>Fin_Analysis!I80</f>
        <v>0</v>
      </c>
      <c r="F23" s="140" t="s">
        <v>192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173</v>
      </c>
      <c r="C24" s="172">
        <f>Fin_Analysis!I81</f>
        <v>1.9909979330197799E-3</v>
      </c>
      <c r="F24" s="140" t="s">
        <v>178</v>
      </c>
      <c r="G24" s="179">
        <f>(Fin_Analysis!H86*G7)/G3</f>
        <v>5.8810385109953747E-2</v>
      </c>
    </row>
    <row r="25" spans="1:8" ht="15.75" customHeight="1" x14ac:dyDescent="0.4">
      <c r="B25" s="137" t="s">
        <v>251</v>
      </c>
      <c r="C25" s="172">
        <f>Fin_Analysis!I82</f>
        <v>0</v>
      </c>
      <c r="F25" s="140" t="s">
        <v>177</v>
      </c>
      <c r="G25" s="172">
        <f>Fin_Analysis!I88</f>
        <v>0.44556894286030935</v>
      </c>
    </row>
    <row r="26" spans="1:8" ht="15.75" customHeight="1" x14ac:dyDescent="0.4">
      <c r="B26" s="138" t="s">
        <v>176</v>
      </c>
      <c r="C26" s="172">
        <f>Fin_Analysis!I83</f>
        <v>6.6194720593479306E-2</v>
      </c>
      <c r="F26" s="141" t="s">
        <v>197</v>
      </c>
      <c r="G26" s="179">
        <f>Fin_Analysis!H88*Exchange_Rate/G3</f>
        <v>2.6204081122649773E-2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169</v>
      </c>
      <c r="D28" s="43" t="s">
        <v>170</v>
      </c>
      <c r="E28" s="58"/>
      <c r="F28" s="53" t="s">
        <v>244</v>
      </c>
      <c r="G28" s="270" t="s">
        <v>245</v>
      </c>
      <c r="H28" s="270"/>
    </row>
    <row r="29" spans="1:8" ht="15.75" customHeight="1" x14ac:dyDescent="0.4">
      <c r="B29" s="87" t="s">
        <v>171</v>
      </c>
      <c r="C29" s="130">
        <f>IF(Fin_Analysis!C108="Profit",Fin_Analysis!D100,IF(Fin_Analysis!C108="Dividend",Fin_Analysis!D103,Fin_Analysis!D106))</f>
        <v>1.1254036135963694</v>
      </c>
      <c r="D29" s="129">
        <f>IF(Fin_Analysis!C108="Profit",Fin_Analysis!I100,IF(Fin_Analysis!C108="Dividend",Fin_Analysis!I103,Fin_Analysis!I106))</f>
        <v>1.8810686892938198</v>
      </c>
      <c r="E29" s="87"/>
      <c r="F29" s="131">
        <f>IF(Fin_Analysis!C108="Profit",Fin_Analysis!F100,IF(Fin_Analysis!C108="Dividend",Fin_Analysis!F103,Fin_Analysis!F106))</f>
        <v>1.3240042512898464</v>
      </c>
      <c r="G29" s="271">
        <f>IF(Fin_Analysis!C108="Profit",Fin_Analysis!E100,IF(Fin_Analysis!C108="Dividend",Fin_Analysis!E103,Fin_Analysis!E106))</f>
        <v>1.3240042512898464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227</v>
      </c>
      <c r="C31"/>
    </row>
    <row r="32" spans="1:8" ht="15.75" customHeight="1" x14ac:dyDescent="0.4">
      <c r="A32"/>
      <c r="B32" s="197" t="s">
        <v>228</v>
      </c>
      <c r="C32" s="225"/>
    </row>
    <row r="33" spans="1:3" ht="15.75" customHeight="1" x14ac:dyDescent="0.4">
      <c r="A33"/>
      <c r="B33" s="20" t="s">
        <v>229</v>
      </c>
      <c r="C33" s="246" t="str">
        <f>Inputs!C17</f>
        <v>agree</v>
      </c>
    </row>
    <row r="34" spans="1:3" ht="15.75" customHeight="1" x14ac:dyDescent="0.4">
      <c r="A34"/>
      <c r="B34" s="19" t="s">
        <v>230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231</v>
      </c>
      <c r="C35" s="225"/>
    </row>
    <row r="36" spans="1:3" ht="15.75" customHeight="1" x14ac:dyDescent="0.4">
      <c r="A36"/>
      <c r="B36" s="20" t="s">
        <v>246</v>
      </c>
      <c r="C36" s="246" t="str">
        <f>Inputs!C18</f>
        <v>unclear</v>
      </c>
    </row>
    <row r="37" spans="1:3" ht="15.75" customHeight="1" x14ac:dyDescent="0.4">
      <c r="A37"/>
      <c r="B37" s="20" t="s">
        <v>247</v>
      </c>
      <c r="C37" s="246" t="str">
        <f>Inputs!C19</f>
        <v>agree</v>
      </c>
    </row>
    <row r="38" spans="1:3" ht="15.75" customHeight="1" x14ac:dyDescent="0.4">
      <c r="A38"/>
      <c r="B38" s="197" t="s">
        <v>232</v>
      </c>
      <c r="C38" s="225"/>
    </row>
    <row r="39" spans="1:3" ht="15.75" customHeight="1" x14ac:dyDescent="0.4">
      <c r="A39"/>
      <c r="B39" s="19" t="s">
        <v>233</v>
      </c>
      <c r="C39" s="246" t="str">
        <f>Inputs!C20</f>
        <v>agree</v>
      </c>
    </row>
    <row r="40" spans="1:3" ht="15.75" customHeight="1" x14ac:dyDescent="0.4">
      <c r="A40"/>
      <c r="B40" s="1" t="s">
        <v>238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234</v>
      </c>
      <c r="C42"/>
    </row>
    <row r="43" spans="1:3" ht="65.650000000000006" x14ac:dyDescent="0.4">
      <c r="A43"/>
      <c r="B43" s="227" t="s">
        <v>235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19" zoomScaleNormal="100" workbookViewId="0">
      <pane xSplit="2" topLeftCell="C1" activePane="topRight" state="frozen"/>
      <selection activeCell="A4" sqref="A4"/>
      <selection pane="topRight" activeCell="B21" sqref="B21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203</v>
      </c>
      <c r="F2" s="119" t="s">
        <v>206</v>
      </c>
      <c r="G2" s="149" t="s">
        <v>207</v>
      </c>
      <c r="H2" s="148" t="s">
        <v>208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204</v>
      </c>
      <c r="F3" s="85" t="str">
        <f>H14</f>
        <v/>
      </c>
      <c r="G3" s="85">
        <f>C14</f>
        <v>260243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205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135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3816679</v>
      </c>
      <c r="D6" s="201">
        <f>IF(Inputs!D25="","",Inputs!D25)</f>
        <v>3937011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-3.0564303731942855E-2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3135568</v>
      </c>
      <c r="D8" s="200">
        <f>IF(Inputs!D26="","",Inputs!D26)</f>
        <v>3349048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681111</v>
      </c>
      <c r="D9" s="152">
        <f t="shared" si="2"/>
        <v>587963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420868</v>
      </c>
      <c r="D10" s="200">
        <f>IF(Inputs!D27="","",Inputs!D27)</f>
        <v>424202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248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249</v>
      </c>
      <c r="C13" s="230">
        <f t="shared" ref="C13:M13" si="3">IF(C14="","",C14/C6)</f>
        <v>6.8185718526499087E-2</v>
      </c>
      <c r="D13" s="230">
        <f t="shared" si="3"/>
        <v>4.1595260973362788E-2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240</v>
      </c>
      <c r="C14" s="231">
        <f>IF(C6="","",C9-C10-MAX(C11,0)-MAX(C12,0))</f>
        <v>260243</v>
      </c>
      <c r="D14" s="231">
        <f t="shared" ref="D14:M14" si="4">IF(D6="","",D9-D10-MAX(D11,0)-MAX(D12,0))</f>
        <v>163761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250</v>
      </c>
      <c r="C15" s="233">
        <f>IF(D14="","",IF(ABS(C14+D14)=ABS(C14)+ABS(D14),IF(C14&lt;0,-1,1)*(C14-D14)/D14,"Turn"))</f>
        <v>0.58916347604130415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124</v>
      </c>
      <c r="C17" s="200">
        <f>IF(Inputs!C29="","",Inputs!C29)</f>
        <v>7599</v>
      </c>
      <c r="D17" s="200">
        <f>IF(Inputs!D29="","",Inputs!D29)</f>
        <v>5443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242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252644</v>
      </c>
      <c r="D22" s="162">
        <f t="shared" ref="D22:M22" si="8">IF(D6="","",D14-MAX(D16,0)-MAX(D17,0)-ABS(MAX(D21,0)-MAX(D19,0)))</f>
        <v>158318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4.9646040445109479E-2</v>
      </c>
      <c r="D23" s="154">
        <f t="shared" si="9"/>
        <v>3.0159555053313289E-2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189483</v>
      </c>
      <c r="D24" s="77">
        <f>IF(D6="","",D22*(1-Fin_Analysis!$I$84))</f>
        <v>118738.5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130</v>
      </c>
      <c r="C25" s="234">
        <f>IF(D24="","",IF(ABS(C24+D24)=ABS(C24)+ABS(D24),IF(C24&lt;0,-1,1)*(C24-D24)/D24,"Turn"))</f>
        <v>0.59580085650399828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136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150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139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140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138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142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160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260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0.82154354610382485</v>
      </c>
      <c r="D42" s="157">
        <f t="shared" si="34"/>
        <v>0.85065751657793187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241</v>
      </c>
      <c r="C43" s="154">
        <f t="shared" ref="C43:M43" si="35">IF(C6="","",(C10+MAX(C11,0))/C6)</f>
        <v>0.1102707353696761</v>
      </c>
      <c r="D43" s="154">
        <f t="shared" si="35"/>
        <v>0.10774722244870538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1.9909979330197799E-3</v>
      </c>
      <c r="D45" s="154">
        <f t="shared" si="37"/>
        <v>1.3825209022784036E-3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131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243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125</v>
      </c>
      <c r="C48" s="154">
        <f t="shared" ref="C48:M48" si="40">IF(C6="","",C22/C6)</f>
        <v>6.6194720593479306E-2</v>
      </c>
      <c r="D48" s="154">
        <f t="shared" si="40"/>
        <v>4.0212740071084385E-2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148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149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3.0077896170104972E-2</v>
      </c>
      <c r="D55" s="154">
        <f t="shared" si="45"/>
        <v>3.4380171553455706E-2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8" zoomScaleNormal="100" workbookViewId="0">
      <selection activeCell="H89" sqref="H8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200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137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161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162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155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141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143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153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144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156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142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154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145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129</v>
      </c>
      <c r="C72" s="268">
        <f>Data!C5</f>
        <v>45291</v>
      </c>
      <c r="D72" s="268"/>
      <c r="E72" s="282" t="s">
        <v>210</v>
      </c>
      <c r="F72" s="282"/>
      <c r="H72" s="282" t="s">
        <v>209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128</v>
      </c>
      <c r="C74" s="77">
        <f>Data!C6</f>
        <v>3816679</v>
      </c>
      <c r="D74" s="210"/>
      <c r="E74" s="239">
        <f>Inputs!E91</f>
        <v>3816679</v>
      </c>
      <c r="F74" s="210"/>
      <c r="H74" s="239">
        <f>Inputs!F91</f>
        <v>3816679</v>
      </c>
      <c r="I74" s="210"/>
      <c r="K74" s="24"/>
    </row>
    <row r="75" spans="1:11" ht="15" customHeight="1" x14ac:dyDescent="0.4">
      <c r="B75" s="104" t="s">
        <v>106</v>
      </c>
      <c r="C75" s="77">
        <f>Data!C8</f>
        <v>3135568</v>
      </c>
      <c r="D75" s="160">
        <f>C75/$C$74</f>
        <v>0.82154354610382485</v>
      </c>
      <c r="E75" s="239">
        <f>Inputs!E92</f>
        <v>3135568</v>
      </c>
      <c r="F75" s="161">
        <f>E75/E74</f>
        <v>0.82154354610382485</v>
      </c>
      <c r="H75" s="239">
        <f>Inputs!F92</f>
        <v>3135568</v>
      </c>
      <c r="I75" s="161">
        <f>H75/$H$74</f>
        <v>0.82154354610382485</v>
      </c>
      <c r="K75" s="24"/>
    </row>
    <row r="76" spans="1:11" ht="15" customHeight="1" x14ac:dyDescent="0.4">
      <c r="B76" s="35" t="s">
        <v>96</v>
      </c>
      <c r="C76" s="162">
        <f>C74-C75</f>
        <v>681111</v>
      </c>
      <c r="D76" s="211"/>
      <c r="E76" s="163">
        <f>E74-E75</f>
        <v>681111</v>
      </c>
      <c r="F76" s="211"/>
      <c r="H76" s="163">
        <f>H74-H75</f>
        <v>681111</v>
      </c>
      <c r="I76" s="211"/>
      <c r="K76" s="24"/>
    </row>
    <row r="77" spans="1:11" ht="15" customHeight="1" x14ac:dyDescent="0.4">
      <c r="B77" s="104" t="s">
        <v>255</v>
      </c>
      <c r="C77" s="77">
        <f>Data!C10+MAX(Data!C11,0)</f>
        <v>420868</v>
      </c>
      <c r="D77" s="160">
        <f>C77/$C$74</f>
        <v>0.1102707353696761</v>
      </c>
      <c r="E77" s="239">
        <f>Inputs!E93</f>
        <v>420868</v>
      </c>
      <c r="F77" s="161">
        <f>E77/E74</f>
        <v>0.1102707353696761</v>
      </c>
      <c r="H77" s="239">
        <f>Inputs!F93</f>
        <v>420868</v>
      </c>
      <c r="I77" s="161">
        <f>H77/$H$74</f>
        <v>0.1102707353696761</v>
      </c>
      <c r="K77" s="24"/>
    </row>
    <row r="78" spans="1:11" ht="15" customHeight="1" x14ac:dyDescent="0.4">
      <c r="B78" s="73" t="s">
        <v>175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239</v>
      </c>
      <c r="C79" s="258">
        <f>C76-C77-C78</f>
        <v>260243</v>
      </c>
      <c r="D79" s="259">
        <f>C79/C74</f>
        <v>6.8185718526499087E-2</v>
      </c>
      <c r="E79" s="260">
        <f>E76-E77-E78</f>
        <v>260243</v>
      </c>
      <c r="F79" s="259">
        <f>E79/E74</f>
        <v>6.8185718526499087E-2</v>
      </c>
      <c r="G79" s="261"/>
      <c r="H79" s="260">
        <f>H76-H77-H78</f>
        <v>260243</v>
      </c>
      <c r="I79" s="259">
        <f>H79/H74</f>
        <v>6.8185718526499087E-2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133</v>
      </c>
    </row>
    <row r="81" spans="1:11" ht="15" customHeight="1" x14ac:dyDescent="0.4">
      <c r="B81" s="104" t="s">
        <v>124</v>
      </c>
      <c r="C81" s="77">
        <f>MAX(Data!C17,0)</f>
        <v>7599</v>
      </c>
      <c r="D81" s="160">
        <f>C81/$C$74</f>
        <v>1.9909979330197799E-3</v>
      </c>
      <c r="E81" s="181">
        <f>E74*F81</f>
        <v>7599.0000000000009</v>
      </c>
      <c r="F81" s="161">
        <f>I81</f>
        <v>1.9909979330197799E-3</v>
      </c>
      <c r="H81" s="239">
        <f>Inputs!F94</f>
        <v>7599.0000000000009</v>
      </c>
      <c r="I81" s="161">
        <f>H81/$H$74</f>
        <v>1.9909979330197799E-3</v>
      </c>
      <c r="K81" s="24"/>
    </row>
    <row r="82" spans="1:11" ht="15" customHeight="1" x14ac:dyDescent="0.4">
      <c r="B82" s="28" t="s">
        <v>254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127</v>
      </c>
      <c r="C83" s="164">
        <f>C79-C81-C82-C80</f>
        <v>252644</v>
      </c>
      <c r="D83" s="165">
        <f>C83/$C$74</f>
        <v>6.6194720593479306E-2</v>
      </c>
      <c r="E83" s="166">
        <f>E79-E81-E82-E80</f>
        <v>252644</v>
      </c>
      <c r="F83" s="165">
        <f>E83/E74</f>
        <v>6.6194720593479306E-2</v>
      </c>
      <c r="H83" s="166">
        <f>H79-H81-H82-H80</f>
        <v>252644</v>
      </c>
      <c r="I83" s="165">
        <f>H83/$H$74</f>
        <v>6.6194720593479306E-2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167</v>
      </c>
      <c r="C85" s="258">
        <f>C83*(1-I84)</f>
        <v>189483</v>
      </c>
      <c r="D85" s="259">
        <f>C85/$C$74</f>
        <v>4.9646040445109479E-2</v>
      </c>
      <c r="E85" s="265">
        <f>E83*(1-F84)</f>
        <v>189483</v>
      </c>
      <c r="F85" s="259">
        <f>E85/E74</f>
        <v>4.9646040445109479E-2</v>
      </c>
      <c r="G85" s="261"/>
      <c r="H85" s="265">
        <f>H83*(1-I84)</f>
        <v>189483</v>
      </c>
      <c r="I85" s="259">
        <f>H85/$H$74</f>
        <v>4.9646040445109479E-2</v>
      </c>
      <c r="K85" s="24"/>
    </row>
    <row r="86" spans="1:11" ht="15" customHeight="1" x14ac:dyDescent="0.4">
      <c r="B86" s="87" t="s">
        <v>163</v>
      </c>
      <c r="C86" s="168">
        <f>C85*Data!C4/Common_Shares</f>
        <v>0.13465929562961179</v>
      </c>
      <c r="D86" s="210"/>
      <c r="E86" s="169">
        <f>E85*Data!C4/Common_Shares</f>
        <v>0.13465929562961179</v>
      </c>
      <c r="F86" s="210"/>
      <c r="H86" s="169">
        <f>H85*Data!C4/Common_Shares</f>
        <v>0.13465929562961179</v>
      </c>
      <c r="I86" s="210"/>
      <c r="K86" s="24"/>
    </row>
    <row r="87" spans="1:11" ht="15" customHeight="1" x14ac:dyDescent="0.4">
      <c r="B87" s="87" t="s">
        <v>212</v>
      </c>
      <c r="C87" s="262">
        <f>C86*Exchange_Rate/Dashboard!G3</f>
        <v>5.8810385109953747E-2</v>
      </c>
      <c r="D87" s="210"/>
      <c r="E87" s="263">
        <f>E86*Exchange_Rate/Dashboard!G3</f>
        <v>5.8810385109953747E-2</v>
      </c>
      <c r="F87" s="210"/>
      <c r="H87" s="263">
        <f>H86*Exchange_Rate/Dashboard!G3</f>
        <v>5.8810385109953747E-2</v>
      </c>
      <c r="I87" s="210"/>
      <c r="K87" s="24"/>
    </row>
    <row r="88" spans="1:11" ht="15" customHeight="1" x14ac:dyDescent="0.4">
      <c r="B88" s="86" t="s">
        <v>211</v>
      </c>
      <c r="C88" s="170">
        <f>Inputs!C44</f>
        <v>0.1</v>
      </c>
      <c r="D88" s="167">
        <f>C88/C86</f>
        <v>0.74261490476718228</v>
      </c>
      <c r="E88" s="171">
        <f>Inputs!E98</f>
        <v>0.06</v>
      </c>
      <c r="F88" s="167">
        <f>E88/E86</f>
        <v>0.44556894286030935</v>
      </c>
      <c r="H88" s="171">
        <f>Inputs!F98</f>
        <v>0.06</v>
      </c>
      <c r="I88" s="167">
        <f>H88/H86</f>
        <v>0.44556894286030935</v>
      </c>
      <c r="K88" s="24"/>
    </row>
    <row r="89" spans="1:11" ht="15" customHeight="1" x14ac:dyDescent="0.4">
      <c r="B89" s="87" t="s">
        <v>226</v>
      </c>
      <c r="C89" s="262">
        <f>C88*Exchange_Rate/Dashboard!G3</f>
        <v>4.3673468537749623E-2</v>
      </c>
      <c r="D89" s="210"/>
      <c r="E89" s="262">
        <f>E88*Exchange_Rate/Dashboard!G3</f>
        <v>2.6204081122649773E-2</v>
      </c>
      <c r="F89" s="210"/>
      <c r="H89" s="262">
        <f>H88*Exchange_Rate/Dashboard!G3</f>
        <v>2.6204081122649773E-2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157</v>
      </c>
      <c r="C91" s="21"/>
      <c r="K91" s="50" t="s">
        <v>134</v>
      </c>
    </row>
    <row r="92" spans="1:11" ht="15" customHeight="1" x14ac:dyDescent="0.4">
      <c r="B92" s="10" t="s">
        <v>158</v>
      </c>
      <c r="C92" s="199" t="str">
        <f>Inputs!C15</f>
        <v>CN</v>
      </c>
      <c r="D92" s="10" t="s">
        <v>159</v>
      </c>
      <c r="E92" s="282" t="s">
        <v>210</v>
      </c>
      <c r="F92" s="282"/>
      <c r="G92" s="87"/>
      <c r="H92" s="282" t="s">
        <v>209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213</v>
      </c>
      <c r="F93" s="144">
        <f>FV(E87,D93,0,-(E86/C93))</f>
        <v>2.4888275393573718</v>
      </c>
      <c r="H93" s="87" t="s">
        <v>213</v>
      </c>
      <c r="I93" s="144">
        <f>FV(H87,D93,0,-(H86/C93))</f>
        <v>2.4888275393573718</v>
      </c>
      <c r="K93" s="24"/>
    </row>
    <row r="94" spans="1:11" ht="15" customHeight="1" x14ac:dyDescent="0.4">
      <c r="B94" s="1" t="s">
        <v>215</v>
      </c>
      <c r="C94" s="183">
        <f>Dashboard!G20</f>
        <v>0.15</v>
      </c>
      <c r="D94" s="145"/>
      <c r="E94" s="87" t="s">
        <v>214</v>
      </c>
      <c r="F94" s="144">
        <f>FV(E89,D93,0,-(E88/C93))</f>
        <v>0.9483910378727195</v>
      </c>
      <c r="H94" s="87" t="s">
        <v>214</v>
      </c>
      <c r="I94" s="144">
        <f>FV(H89,D93,0,-(H88/C93))</f>
        <v>0.9483910378727195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218</v>
      </c>
      <c r="E96" s="184" t="str">
        <f>E72</f>
        <v>Pessimistic Case</v>
      </c>
      <c r="F96" s="228" t="s">
        <v>244</v>
      </c>
      <c r="H96" s="184" t="str">
        <f>H72</f>
        <v>Base Case</v>
      </c>
      <c r="I96" s="124" t="s">
        <v>217</v>
      </c>
      <c r="K96" s="24"/>
    </row>
    <row r="97" spans="2:11" ht="15" customHeight="1" x14ac:dyDescent="0.4">
      <c r="B97" s="1" t="s">
        <v>132</v>
      </c>
      <c r="C97" s="91">
        <f>H97*Common_Shares/Data!C4</f>
        <v>1863044.7781132301</v>
      </c>
      <c r="D97" s="214"/>
      <c r="E97" s="123">
        <f>PV(C94,D93,0,-F93)*Exchange_Rate</f>
        <v>1.3240042512898464</v>
      </c>
      <c r="F97" s="214"/>
      <c r="H97" s="123">
        <f>PV(C94,D93,0,-I93)*Exchange_Rate</f>
        <v>1.3240042512898464</v>
      </c>
      <c r="I97" s="123">
        <f>PV(C93,D93,0,-I93)*Exchange_Rate</f>
        <v>1.8810686892938198</v>
      </c>
      <c r="K97" s="24"/>
    </row>
    <row r="98" spans="2:11" ht="15" customHeight="1" x14ac:dyDescent="0.4">
      <c r="B98" s="28" t="s">
        <v>146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147</v>
      </c>
      <c r="C99" s="108">
        <f>(E65-IF(E70&lt;0,MIN(E65,ABS(E70)),0))*Exchange_Rate</f>
        <v>0</v>
      </c>
      <c r="D99" s="215"/>
      <c r="E99" s="146">
        <f>IF(H99&gt;0,H99*0.85,H99*1.15)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1863044.7781132301</v>
      </c>
      <c r="D100" s="109">
        <f>MIN(F100*(1-C94),E100)</f>
        <v>1.1254036135963694</v>
      </c>
      <c r="E100" s="109">
        <f>MAX(E97-H98+E99,0)</f>
        <v>1.3240042512898464</v>
      </c>
      <c r="F100" s="109">
        <f>(E100+H100)/2</f>
        <v>1.3240042512898464</v>
      </c>
      <c r="H100" s="109">
        <f>MAX(C100*Data!$C$4/Common_Shares,0)</f>
        <v>1.3240042512898464</v>
      </c>
      <c r="I100" s="109">
        <f>MAX(I97-H98+H99,0)</f>
        <v>1.8810686892938198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165</v>
      </c>
      <c r="C102" s="127" t="str">
        <f>C96</f>
        <v>HKD</v>
      </c>
      <c r="D102" s="124" t="s">
        <v>218</v>
      </c>
      <c r="E102" s="184" t="str">
        <f>E96</f>
        <v>Pessimistic Case</v>
      </c>
      <c r="F102" s="228" t="s">
        <v>244</v>
      </c>
      <c r="H102" s="184" t="str">
        <f>H96</f>
        <v>Base Case</v>
      </c>
      <c r="I102" s="124" t="s">
        <v>217</v>
      </c>
      <c r="K102" s="24"/>
    </row>
    <row r="103" spans="2:11" ht="15" customHeight="1" x14ac:dyDescent="0.4">
      <c r="B103" s="1" t="s">
        <v>164</v>
      </c>
      <c r="C103" s="91">
        <f>H103*Common_Shares/Data!C4</f>
        <v>709930.65721796802</v>
      </c>
      <c r="D103" s="109">
        <f>MIN(F103*(1-C94),E103)</f>
        <v>0.42884558461610328</v>
      </c>
      <c r="E103" s="123">
        <f>PV(C94,D93,0,-F94)*Exchange_Rate</f>
        <v>0.50452421719541563</v>
      </c>
      <c r="F103" s="109">
        <f>(E103+H103)/2</f>
        <v>0.50452421719541563</v>
      </c>
      <c r="H103" s="123">
        <f>PV(C94,D93,0,-I94)*Exchange_Rate</f>
        <v>0.50452421719541563</v>
      </c>
      <c r="I103" s="109">
        <f>PV(C93,D93,0,-I94)*Exchange_Rate</f>
        <v>0.71679883733923855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201</v>
      </c>
      <c r="C105" s="127" t="str">
        <f>C102</f>
        <v>HKD</v>
      </c>
      <c r="D105" s="124" t="s">
        <v>218</v>
      </c>
      <c r="E105" s="185" t="str">
        <f>E96</f>
        <v>Pessimistic Case</v>
      </c>
      <c r="F105" s="228" t="s">
        <v>244</v>
      </c>
      <c r="H105" s="185" t="str">
        <f>H96</f>
        <v>Base Case</v>
      </c>
      <c r="I105" s="124" t="s">
        <v>217</v>
      </c>
      <c r="K105" s="24"/>
    </row>
    <row r="106" spans="2:11" ht="15" customHeight="1" x14ac:dyDescent="0.4">
      <c r="B106" s="1" t="s">
        <v>202</v>
      </c>
      <c r="C106" s="91">
        <f>E106*Common_Shares/Data!C4</f>
        <v>1286487.7176655992</v>
      </c>
      <c r="D106" s="109">
        <f>(D100+D103)/2</f>
        <v>0.77712459910623632</v>
      </c>
      <c r="E106" s="123">
        <f>(E100+E103)/2</f>
        <v>0.91426423424263104</v>
      </c>
      <c r="F106" s="109">
        <f>(F100+F103)/2</f>
        <v>0.91426423424263104</v>
      </c>
      <c r="H106" s="123">
        <f>(H100+H103)/2</f>
        <v>0.91426423424263104</v>
      </c>
      <c r="I106" s="123">
        <f>(I100+I103)/2</f>
        <v>1.2989337633165292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168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2024-11-28T03:00:29Z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