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ACFEAF32-0FD3-4C2B-B3C0-A053DEB1C15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6" i="4" l="1"/>
  <c r="C95" i="4" l="1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4" i="4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<sst xmlns="http://schemas.openxmlformats.org/spreadsheetml/2006/main" count="391" uniqueCount="271">
  <si>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</si>
  <si>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</si>
  <si>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</si>
  <si>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</si>
  <si>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</si>
  <si>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</si>
  <si>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</si>
  <si>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</si>
  <si>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</si>
  <si>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</si>
  <si>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</si>
  <si>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</si>
  <si>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</si>
  <si>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</si>
  <si>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</si>
  <si>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</si>
  <si>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</si>
  <si>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</si>
  <si>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</si>
  <si>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</si>
  <si>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</si>
  <si>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</si>
  <si>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</si>
  <si>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</si>
  <si>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</si>
  <si>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</si>
  <si>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</si>
  <si>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</si>
  <si>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</si>
  <si>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</si>
  <si>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</si>
  <si>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</si>
  <si>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</si>
  <si>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</si>
  <si>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</si>
  <si>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</si>
  <si>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</si>
  <si>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</si>
  <si>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</si>
  <si>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</si>
  <si>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</si>
  <si>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</si>
  <si>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</si>
  <si>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</si>
  <si>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</si>
  <si>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</si>
  <si>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</si>
  <si>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</si>
  <si>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</si>
  <si>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</si>
  <si>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</si>
  <si>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</si>
  <si>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</si>
  <si>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</si>
  <si>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</si>
  <si>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</si>
  <si>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</si>
  <si>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</si>
  <si>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</si>
  <si>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</si>
  <si>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</si>
  <si>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</si>
  <si>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</si>
  <si>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</si>
  <si>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</si>
  <si>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</si>
  <si>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</si>
  <si>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</si>
  <si>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</si>
  <si>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</si>
  <si>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</si>
  <si>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</si>
  <si>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</si>
  <si>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</si>
  <si>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</si>
  <si>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</si>
  <si>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</si>
  <si>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</si>
  <si>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</si>
  <si>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</si>
  <si>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</si>
  <si>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</si>
  <si>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</si>
  <si>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</si>
  <si>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</si>
  <si>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</si>
  <si>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</si>
  <si>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</si>
  <si>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</si>
  <si>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</si>
  <si>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</si>
  <si>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</si>
  <si>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</si>
  <si>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</si>
  <si>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</si>
  <si>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</si>
  <si>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</si>
  <si>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</si>
  <si>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</si>
  <si>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</si>
  <si>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</si>
  <si>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</si>
  <si>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</si>
  <si>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</si>
  <si>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</si>
  <si>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</si>
  <si>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</si>
  <si>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</si>
  <si>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</si>
  <si>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</si>
  <si>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</si>
  <si>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</si>
  <si>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</si>
  <si>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</si>
  <si>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</si>
  <si>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</si>
  <si>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</si>
  <si>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</si>
  <si>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</si>
  <si>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</si>
  <si>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</si>
  <si>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</si>
  <si>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</si>
  <si>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</si>
  <si>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</si>
  <si>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</si>
  <si>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</si>
  <si>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</si>
  <si>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</si>
  <si>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</si>
  <si>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</si>
  <si>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</si>
  <si>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</si>
  <si>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</si>
  <si>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</si>
  <si>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</si>
  <si>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</si>
  <si>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</si>
  <si>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</si>
  <si>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</si>
  <si>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</si>
  <si>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</si>
  <si>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</si>
  <si>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</si>
  <si>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</si>
  <si>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</si>
  <si>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</si>
  <si>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</si>
  <si>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</si>
  <si>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</si>
  <si>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</si>
  <si>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</si>
  <si>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</si>
  <si>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</si>
  <si>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</si>
  <si>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</si>
  <si>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</si>
  <si>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</si>
  <si>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</si>
  <si>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</si>
  <si>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</si>
  <si>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</si>
  <si>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</si>
  <si>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</si>
  <si>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</si>
  <si>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</si>
  <si>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</si>
  <si>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</si>
  <si>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</si>
  <si>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</si>
  <si>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</si>
  <si>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</si>
  <si>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</si>
  <si>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</si>
  <si>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</si>
  <si>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</si>
  <si>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</si>
  <si>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</si>
  <si>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</si>
  <si>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</si>
  <si>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</si>
  <si>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</si>
  <si>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</si>
  <si>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</si>
  <si>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</si>
  <si>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</si>
  <si>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</si>
  <si>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</si>
  <si>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</si>
  <si>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</si>
  <si>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</si>
  <si>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</si>
  <si>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</si>
  <si>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</si>
  <si>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</si>
  <si>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</si>
  <si>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</si>
  <si>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</si>
  <si>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</si>
  <si>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</si>
  <si>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</si>
  <si>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</si>
  <si>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</si>
  <si>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</si>
  <si>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</si>
  <si>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</si>
  <si>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</si>
  <si>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</si>
  <si>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</si>
  <si>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</si>
  <si>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</si>
  <si>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</si>
  <si>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</si>
  <si>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</si>
  <si>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</si>
  <si>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</si>
  <si>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</si>
  <si>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</si>
  <si>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</si>
  <si>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</si>
  <si>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</si>
  <si>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</si>
  <si>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</si>
  <si>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</si>
  <si>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</si>
  <si>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</si>
  <si>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</si>
  <si>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</si>
  <si>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</si>
  <si>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</si>
  <si>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</si>
  <si>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</si>
  <si>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</si>
  <si>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</si>
  <si>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</si>
  <si>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</si>
  <si>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</si>
  <si>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</si>
  <si>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</si>
  <si>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</si>
  <si>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</si>
  <si>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</si>
  <si>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</si>
  <si>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</si>
  <si>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</si>
  <si>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</si>
  <si>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</si>
  <si>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</si>
  <si>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</si>
  <si>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</si>
  <si>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</si>
  <si>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</si>
  <si>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</si>
  <si>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</si>
  <si>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</si>
  <si>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</si>
  <si>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</si>
  <si>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</si>
  <si>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</si>
  <si>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</si>
  <si>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</si>
  <si>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</si>
  <si>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</si>
  <si>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</si>
  <si>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</si>
  <si>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</si>
  <si>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0710.HK</t>
  </si>
  <si>
    <t>京东方精电</t>
  </si>
  <si>
    <t>C0006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</si>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</sst>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5.409642155098836E-4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-4.5442109301350432E-2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10" zoomScaleNormal="100" workbookViewId="0">
      <selection activeCell="F98" sqref="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266</v>
      </c>
    </row>
    <row r="5" spans="1:4" ht="13.9" x14ac:dyDescent="0.4">
      <c r="B5" s="141" t="s">
        <v>199</v>
      </c>
      <c r="C5" s="192" t="s">
        <v>267</v>
      </c>
    </row>
    <row r="6" spans="1:4" ht="13.9" x14ac:dyDescent="0.4">
      <c r="B6" s="141" t="s">
        <v>166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71</v>
      </c>
    </row>
    <row r="9" spans="1:4" ht="13.9" x14ac:dyDescent="0.4">
      <c r="B9" s="140" t="s">
        <v>221</v>
      </c>
      <c r="C9" s="193" t="s">
        <v>268</v>
      </c>
    </row>
    <row r="10" spans="1:4" ht="13.9" x14ac:dyDescent="0.4">
      <c r="B10" s="140" t="s">
        <v>222</v>
      </c>
      <c r="C10" s="194">
        <v>791575204</v>
      </c>
    </row>
    <row r="11" spans="1:4" ht="13.9" x14ac:dyDescent="0.4">
      <c r="B11" s="140" t="s">
        <v>223</v>
      </c>
      <c r="C11" s="193" t="s">
        <v>269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45473</v>
      </c>
    </row>
    <row r="15" spans="1:4" ht="13.9" x14ac:dyDescent="0.4">
      <c r="B15" s="219" t="s">
        <v>265</v>
      </c>
      <c r="C15" s="177" t="s">
        <v>270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247</v>
      </c>
      <c r="C18" s="243" t="s">
        <v>254</v>
      </c>
      <c r="D18" s="24"/>
    </row>
    <row r="19" spans="2:13" ht="13.9" x14ac:dyDescent="0.4">
      <c r="B19" s="241" t="s">
        <v>248</v>
      </c>
      <c r="C19" s="243" t="s">
        <v>238</v>
      </c>
      <c r="D19" s="24"/>
    </row>
    <row r="20" spans="2:13" ht="13.9" x14ac:dyDescent="0.4">
      <c r="B20" s="242" t="s">
        <v>233</v>
      </c>
      <c r="C20" s="243" t="s">
        <v>238</v>
      </c>
      <c r="D20" s="24"/>
    </row>
    <row r="21" spans="2:13" ht="13.9" x14ac:dyDescent="0.4">
      <c r="B21" s="225" t="s">
        <v>239</v>
      </c>
      <c r="C21" s="243" t="s">
        <v>237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262</v>
      </c>
      <c r="C45" s="153">
        <f>IF(C44="","",C44*Exchange_Rate/Dashboard!$G$3)</f>
        <v>3.1580969362590638E-2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258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>
        <v>3496104</v>
      </c>
      <c r="D48" s="60">
        <v>0.9</v>
      </c>
      <c r="E48" s="112"/>
    </row>
    <row r="49" spans="2:5" ht="13.9" x14ac:dyDescent="0.4">
      <c r="B49" s="1" t="s">
        <v>137</v>
      </c>
      <c r="C49" s="59">
        <v>41635</v>
      </c>
      <c r="D49" s="60">
        <v>0.8</v>
      </c>
      <c r="E49" s="112"/>
    </row>
    <row r="50" spans="2:5" ht="13.9" x14ac:dyDescent="0.4">
      <c r="B50" s="3" t="s">
        <v>117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405832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161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162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27391</v>
      </c>
      <c r="D70" s="60">
        <v>0.05</v>
      </c>
      <c r="E70" s="112"/>
    </row>
    <row r="71" spans="2:5" ht="13.9" x14ac:dyDescent="0.4">
      <c r="B71" s="3" t="s">
        <v>75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>
        <v>174488</v>
      </c>
    </row>
    <row r="74" spans="2:5" ht="13.9" x14ac:dyDescent="0.4">
      <c r="B74" s="3" t="s">
        <v>40</v>
      </c>
      <c r="C74" s="59">
        <v>11884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5753095</v>
      </c>
    </row>
    <row r="78" spans="2:5" ht="14.25" thickTop="1" x14ac:dyDescent="0.4">
      <c r="B78" s="3" t="s">
        <v>62</v>
      </c>
      <c r="C78" s="59">
        <v>432202</v>
      </c>
    </row>
    <row r="79" spans="2:5" ht="13.9" x14ac:dyDescent="0.4">
      <c r="B79" s="3" t="s">
        <v>64</v>
      </c>
      <c r="C79" s="59">
        <v>17265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638511</v>
      </c>
    </row>
    <row r="83" spans="2:8" ht="14.25" thickTop="1" x14ac:dyDescent="0.4">
      <c r="B83" s="73" t="s">
        <v>225</v>
      </c>
      <c r="C83" s="59">
        <v>4357429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259</v>
      </c>
      <c r="C86" s="198">
        <v>5</v>
      </c>
    </row>
    <row r="87" spans="2:8" ht="13.9" x14ac:dyDescent="0.4">
      <c r="B87" s="10" t="s">
        <v>257</v>
      </c>
      <c r="C87" s="237" t="s">
        <v>260</v>
      </c>
    </row>
    <row r="89" spans="2:8" ht="13.5" x14ac:dyDescent="0.35">
      <c r="B89" s="106" t="s">
        <v>129</v>
      </c>
      <c r="C89" s="268">
        <f>C24</f>
        <v>45291</v>
      </c>
      <c r="D89" s="268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106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256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124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255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5821</v>
      </c>
      <c r="D97" s="160">
        <f>C97/C91</f>
        <v>5.409642155098836E-4</v>
      </c>
      <c r="E97" s="254"/>
      <c r="F97" s="253">
        <f>F91*D97</f>
        <v>5821</v>
      </c>
    </row>
    <row r="98" spans="2:7" ht="13.9" x14ac:dyDescent="0.4">
      <c r="B98" s="86" t="s">
        <v>211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4" t="str">
        <f>Inputs!C4</f>
        <v>0710.HK</v>
      </c>
      <c r="D3" s="275"/>
      <c r="E3" s="87"/>
      <c r="F3" s="3" t="s">
        <v>1</v>
      </c>
      <c r="G3" s="132">
        <v>5.3600001335143999</v>
      </c>
      <c r="H3" s="134" t="s">
        <v>2</v>
      </c>
    </row>
    <row r="4" spans="1:10" ht="15.75" customHeight="1" x14ac:dyDescent="0.4">
      <c r="B4" s="35" t="s">
        <v>199</v>
      </c>
      <c r="C4" s="276" t="str">
        <f>Inputs!C5</f>
        <v>京东方精电</v>
      </c>
      <c r="D4" s="277"/>
      <c r="E4" s="87"/>
      <c r="F4" s="3" t="s">
        <v>3</v>
      </c>
      <c r="G4" s="280">
        <f>Inputs!C10</f>
        <v>791575204</v>
      </c>
      <c r="H4" s="280"/>
      <c r="I4" s="39"/>
    </row>
    <row r="5" spans="1:10" ht="15.75" customHeight="1" x14ac:dyDescent="0.4">
      <c r="B5" s="3" t="s">
        <v>166</v>
      </c>
      <c r="C5" s="278">
        <f>Inputs!C6</f>
        <v>45593</v>
      </c>
      <c r="D5" s="279"/>
      <c r="E5" s="34"/>
      <c r="F5" s="35" t="s">
        <v>100</v>
      </c>
      <c r="G5" s="272">
        <f>G3*G4/1000000</f>
        <v>4242.8431991266889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196</v>
      </c>
      <c r="C7" s="188" t="str">
        <f>Inputs!C8</f>
        <v>N</v>
      </c>
      <c r="D7" s="188" t="str">
        <f>Inputs!C9</f>
        <v>C0006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CN</v>
      </c>
      <c r="F16" s="110" t="s">
        <v>182</v>
      </c>
    </row>
    <row r="17" spans="1:8" ht="15.75" customHeight="1" thickTop="1" x14ac:dyDescent="0.4">
      <c r="B17" s="87" t="s">
        <v>264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0.8649634921177769</v>
      </c>
      <c r="F20" s="87" t="s">
        <v>215</v>
      </c>
      <c r="G20" s="173">
        <v>0.15</v>
      </c>
    </row>
    <row r="21" spans="1:8" ht="15.75" customHeight="1" x14ac:dyDescent="0.4">
      <c r="B21" s="137" t="s">
        <v>253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5.409642155098836E-4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>
        <f>G3/(Data!C36*Data!C4/Common_Shares*Exchange_Rate)</f>
        <v>0.89776631656775152</v>
      </c>
    </row>
    <row r="24" spans="1:8" ht="15.75" customHeight="1" x14ac:dyDescent="0.4">
      <c r="B24" s="137" t="s">
        <v>173</v>
      </c>
      <c r="C24" s="172">
        <f>Fin_Analysis!I81</f>
        <v>2.3437755566327548E-3</v>
      </c>
      <c r="F24" s="140" t="s">
        <v>178</v>
      </c>
      <c r="G24" s="179">
        <f>(Fin_Analysis!H86*G7)/G3</f>
        <v>-9.2485916067030008E-2</v>
      </c>
    </row>
    <row r="25" spans="1:8" ht="15.75" customHeight="1" x14ac:dyDescent="0.4">
      <c r="B25" s="137" t="s">
        <v>252</v>
      </c>
      <c r="C25" s="172">
        <f>Fin_Analysis!I82</f>
        <v>2.8284501268352451E-2</v>
      </c>
      <c r="F25" s="140" t="s">
        <v>177</v>
      </c>
      <c r="G25" s="172">
        <f>Fin_Analysis!I88</f>
        <v>-0.34146787646782939</v>
      </c>
    </row>
    <row r="26" spans="1:8" ht="15.75" customHeight="1" x14ac:dyDescent="0.4">
      <c r="B26" s="138" t="s">
        <v>176</v>
      </c>
      <c r="C26" s="172">
        <f>Fin_Analysis!I83</f>
        <v>-4.5442109301350432E-2</v>
      </c>
      <c r="F26" s="141" t="s">
        <v>197</v>
      </c>
      <c r="G26" s="179">
        <f>Fin_Analysis!H88*Exchange_Rate/G3</f>
        <v>3.1580969362590638E-2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70" t="s">
        <v>246</v>
      </c>
      <c r="H28" s="270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0</v>
      </c>
      <c r="D29" s="129">
        <f>IF(Fin_Analysis!C108="Profit",Fin_Analysis!I100,IF(Fin_Analysis!C108="Dividend",Fin_Analysis!I103,Fin_Analysis!I106))</f>
        <v>0</v>
      </c>
      <c r="E29" s="87"/>
      <c r="F29" s="131">
        <f>IF(Fin_Analysis!C108="Profit",Fin_Analysis!F100,IF(Fin_Analysis!C108="Dividend",Fin_Analysis!F103,Fin_Analysis!F106))</f>
        <v>0</v>
      </c>
      <c r="G29" s="271">
        <f>IF(Fin_Analysis!C108="Profit",Fin_Analysis!E100,IF(Fin_Analysis!C108="Dividend",Fin_Analysis!E103,Fin_Analysis!E106))</f>
        <v>0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Strongly agree</v>
      </c>
    </row>
    <row r="34" spans="1:3" ht="15.75" customHeight="1" x14ac:dyDescent="0.4">
      <c r="A34"/>
      <c r="B34" s="19" t="s">
        <v>230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247</v>
      </c>
      <c r="C36" s="246" t="str">
        <f>Inputs!C18</f>
        <v>unclear</v>
      </c>
    </row>
    <row r="37" spans="1:3" ht="15.75" customHeight="1" x14ac:dyDescent="0.4">
      <c r="A37"/>
      <c r="B37" s="20" t="s">
        <v>248</v>
      </c>
      <c r="C37" s="246" t="str">
        <f>Inputs!C19</f>
        <v>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agree</v>
      </c>
    </row>
    <row r="40" spans="1:3" ht="15.75" customHeight="1" x14ac:dyDescent="0.4">
      <c r="A40"/>
      <c r="B40" s="1" t="s">
        <v>239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B21" sqref="B2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204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205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249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250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241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251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243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242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244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1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4357429</v>
      </c>
      <c r="K3" s="24"/>
    </row>
    <row r="4" spans="1:11" ht="15" customHeight="1" x14ac:dyDescent="0.4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-165622.2505000004</v>
      </c>
      <c r="E6" s="56">
        <f>1-D6/D3</f>
        <v>1.0374980586720499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39</v>
      </c>
      <c r="I11" s="40">
        <f>Inputs!C73</f>
        <v>174488</v>
      </c>
      <c r="J11" s="87"/>
      <c r="K11" s="24"/>
    </row>
    <row r="12" spans="1:11" ht="13.9" x14ac:dyDescent="0.4">
      <c r="B12" s="1" t="s">
        <v>137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40</v>
      </c>
      <c r="I12" s="40">
        <f>Inputs!C74</f>
        <v>11884</v>
      </c>
      <c r="J12" s="87"/>
      <c r="K12" s="24"/>
    </row>
    <row r="13" spans="1:11" ht="13.9" x14ac:dyDescent="0.4">
      <c r="B13" s="3" t="s">
        <v>117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186372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4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16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432202</v>
      </c>
      <c r="J30" s="87"/>
    </row>
    <row r="31" spans="2:10" ht="15" customHeight="1" x14ac:dyDescent="0.4">
      <c r="B31" s="3" t="s">
        <v>63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64</v>
      </c>
      <c r="I31" s="40">
        <f>Inputs!C79</f>
        <v>17265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449467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08">
        <f>Inputs!C82</f>
        <v>638511</v>
      </c>
      <c r="J48" s="8"/>
    </row>
    <row r="49" spans="2:11" ht="15" customHeight="1" thickTop="1" x14ac:dyDescent="0.4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635839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8">
        <f>Data!C5</f>
        <v>45291</v>
      </c>
      <c r="D72" s="268"/>
      <c r="E72" s="282" t="s">
        <v>210</v>
      </c>
      <c r="F72" s="282"/>
      <c r="H72" s="282" t="s">
        <v>209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128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106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96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256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175</v>
      </c>
      <c r="C78" s="77">
        <f>MAX(Data!C12,0)</f>
        <v>7761.333333333333</v>
      </c>
      <c r="D78" s="160">
        <f>C78/$C$74</f>
        <v>7.2128562067984476E-4</v>
      </c>
      <c r="E78" s="181">
        <f>E74*F78</f>
        <v>5821</v>
      </c>
      <c r="F78" s="161">
        <f>I78</f>
        <v>5.409642155098836E-4</v>
      </c>
      <c r="H78" s="239">
        <f>Inputs!F97</f>
        <v>5821</v>
      </c>
      <c r="I78" s="161">
        <f>H78/$H$74</f>
        <v>5.409642155098836E-4</v>
      </c>
      <c r="K78" s="24"/>
    </row>
    <row r="79" spans="1:11" ht="15" customHeight="1" x14ac:dyDescent="0.4">
      <c r="B79" s="257" t="s">
        <v>240</v>
      </c>
      <c r="C79" s="258">
        <f>C76-C77-C78</f>
        <v>-161343.33333333334</v>
      </c>
      <c r="D79" s="259">
        <f>C79/C74</f>
        <v>-1.4994153881535188E-2</v>
      </c>
      <c r="E79" s="260">
        <f>E76-E77-E78</f>
        <v>-159403</v>
      </c>
      <c r="F79" s="259">
        <f>E79/E74</f>
        <v>-1.4813832476365226E-2</v>
      </c>
      <c r="G79" s="261"/>
      <c r="H79" s="260">
        <f>H76-H77-H78</f>
        <v>-159403</v>
      </c>
      <c r="I79" s="259">
        <f>H79/H74</f>
        <v>-1.4813832476365226E-2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255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127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-488976</v>
      </c>
      <c r="F83" s="165">
        <f>E83/E74</f>
        <v>-4.5442109301350432E-2</v>
      </c>
      <c r="H83" s="166">
        <f>H79-H81-H82-H80</f>
        <v>-488976</v>
      </c>
      <c r="I83" s="165">
        <f>H83/$H$74</f>
        <v>-4.5442109301350432E-2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167</v>
      </c>
      <c r="C85" s="258">
        <f>C83*(1-I84)</f>
        <v>-368187.25</v>
      </c>
      <c r="D85" s="259">
        <f>C85/$C$74</f>
        <v>-3.4216823029890292E-2</v>
      </c>
      <c r="E85" s="265">
        <f>E83*(1-F84)</f>
        <v>-366732</v>
      </c>
      <c r="F85" s="259">
        <f>E85/E74</f>
        <v>-3.4081581976012826E-2</v>
      </c>
      <c r="G85" s="261"/>
      <c r="H85" s="265">
        <f>H83*(1-I84)</f>
        <v>-366732</v>
      </c>
      <c r="I85" s="259">
        <f>H85/$H$74</f>
        <v>-3.4081581976012826E-2</v>
      </c>
      <c r="K85" s="24"/>
    </row>
    <row r="86" spans="1:11" ht="15" customHeight="1" x14ac:dyDescent="0.4">
      <c r="B86" s="87" t="s">
        <v>163</v>
      </c>
      <c r="C86" s="168">
        <f>C85*Data!C4/Common_Shares</f>
        <v>-0.46513236915389783</v>
      </c>
      <c r="D86" s="210"/>
      <c r="E86" s="169">
        <f>E85*Data!C4/Common_Shares</f>
        <v>-0.463293946231292</v>
      </c>
      <c r="F86" s="210"/>
      <c r="H86" s="169">
        <f>H85*Data!C4/Common_Shares</f>
        <v>-0.463293946231292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-9.2852914663707001E-2</v>
      </c>
      <c r="D87" s="210"/>
      <c r="E87" s="263">
        <f>E86*Exchange_Rate/Dashboard!G3</f>
        <v>-9.2485916067030008E-2</v>
      </c>
      <c r="F87" s="210"/>
      <c r="H87" s="263">
        <f>H86*Exchange_Rate/Dashboard!G3</f>
        <v>-9.2485916067030008E-2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-0.34146787646782939</v>
      </c>
      <c r="H88" s="171">
        <f>Inputs!F98</f>
        <v>0.15820000000000001</v>
      </c>
      <c r="I88" s="167">
        <f>H88/H86</f>
        <v>-0.34146787646782939</v>
      </c>
      <c r="K88" s="24"/>
    </row>
    <row r="89" spans="1:11" ht="15" customHeight="1" x14ac:dyDescent="0.4">
      <c r="B89" s="87" t="s">
        <v>226</v>
      </c>
      <c r="C89" s="262">
        <f>C88*Exchange_Rate/Dashboard!G3</f>
        <v>3.1580969362590638E-2</v>
      </c>
      <c r="D89" s="210"/>
      <c r="E89" s="262">
        <f>E88*Exchange_Rate/Dashboard!G3</f>
        <v>3.1580969362590638E-2</v>
      </c>
      <c r="F89" s="210"/>
      <c r="H89" s="262">
        <f>H88*Exchange_Rate/Dashboard!G3</f>
        <v>3.1580969362590638E-2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CN</v>
      </c>
      <c r="D92" s="10" t="s">
        <v>159</v>
      </c>
      <c r="E92" s="282" t="s">
        <v>210</v>
      </c>
      <c r="F92" s="282"/>
      <c r="G92" s="87"/>
      <c r="H92" s="282" t="s">
        <v>209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213</v>
      </c>
      <c r="F93" s="144">
        <f>FV(E87,D93,0,-(E86/C93))</f>
        <v>-3.9608737279570678</v>
      </c>
      <c r="H93" s="87" t="s">
        <v>213</v>
      </c>
      <c r="I93" s="144">
        <f>FV(H87,D93,0,-(H86/C93))</f>
        <v>-3.9608737279570678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2.5667914917029431</v>
      </c>
      <c r="H94" s="87" t="s">
        <v>214</v>
      </c>
      <c r="I94" s="144">
        <f>FV(H89,D93,0,-(H88/C93))</f>
        <v>2.5667914917029431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-1667929.7491866634</v>
      </c>
      <c r="D97" s="214"/>
      <c r="E97" s="123">
        <f>PV(C94,D93,0,-F93)*Exchange_Rate</f>
        <v>-2.1071020678240742</v>
      </c>
      <c r="F97" s="214"/>
      <c r="H97" s="123">
        <f>PV(C94,D93,0,-I93)*Exchange_Rate</f>
        <v>-2.1071020678240742</v>
      </c>
      <c r="I97" s="123">
        <f>PV(C93,D93,0,-I93)*Exchange_Rate</f>
        <v>-2.993648790076604</v>
      </c>
      <c r="K97" s="24"/>
    </row>
    <row r="98" spans="2:11" ht="15" customHeight="1" x14ac:dyDescent="0.4">
      <c r="B98" s="28" t="s">
        <v>146</v>
      </c>
      <c r="C98" s="91">
        <f>E53*Exchange_Rate</f>
        <v>63550.51</v>
      </c>
      <c r="D98" s="214"/>
      <c r="E98" s="214"/>
      <c r="F98" s="214"/>
      <c r="H98" s="123">
        <f>C98*Data!$C$4/Common_Shares</f>
        <v>8.0283603729456893E-2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-1731480.2591866634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1080879.6702485932</v>
      </c>
      <c r="D103" s="109">
        <f>MIN(F103*(1-C94),E103)</f>
        <v>1.1606575282660121</v>
      </c>
      <c r="E103" s="123">
        <f>PV(C94,D93,0,-F94)*Exchange_Rate</f>
        <v>1.3654794450188377</v>
      </c>
      <c r="F103" s="109">
        <f>(E103+H103)/2</f>
        <v>1.3654794450188377</v>
      </c>
      <c r="H103" s="123">
        <f>PV(C94,D93,0,-I94)*Exchange_Rate</f>
        <v>1.3654794450188377</v>
      </c>
      <c r="I103" s="109">
        <f>PV(C93,D93,0,-I94)*Exchange_Rate</f>
        <v>1.9399942465418392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540439.8351242966</v>
      </c>
      <c r="D106" s="109">
        <f>(D100+D103)/2</f>
        <v>0.58032876413300605</v>
      </c>
      <c r="E106" s="123">
        <f>(E100+E103)/2</f>
        <v>0.68273972250941883</v>
      </c>
      <c r="F106" s="109">
        <f>(F100+F103)/2</f>
        <v>0.68273972250941883</v>
      </c>
      <c r="H106" s="123">
        <f>(H100+H103)/2</f>
        <v>0.68273972250941883</v>
      </c>
      <c r="I106" s="123">
        <f>(I100+I103)/2</f>
        <v>0.96999712327091958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