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30523661-EC38-4532-B610-30F7A033E5B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9" i="1" l="1"/>
  <c r="G29" i="1"/>
  <c r="C44" i="4"/>
  <c r="C94" i="4" l="1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I106" i="3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<sst xmlns="http://schemas.openxmlformats.org/spreadsheetml/2006/main" count="391" uniqueCount="269">
  <si>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</si>
  <si>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</si>
  <si>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</si>
  <si>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</si>
  <si>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</si>
  <si>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</si>
  <si>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</si>
  <si>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</si>
  <si>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</si>
  <si>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</si>
  <si>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</si>
  <si>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</si>
  <si>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</si>
  <si>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</si>
  <si>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</si>
  <si>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</si>
  <si>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</si>
  <si>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</si>
  <si>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</si>
  <si>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</si>
  <si>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</si>
  <si>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</si>
  <si>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</si>
  <si>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</si>
  <si>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</si>
  <si>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</si>
  <si>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</si>
  <si>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</si>
  <si>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</si>
  <si>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</si>
  <si>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</si>
  <si>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</si>
  <si>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</si>
  <si>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</si>
  <si>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</si>
  <si>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</si>
  <si>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</si>
  <si>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</si>
  <si>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</si>
  <si>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</si>
  <si>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</si>
  <si>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</si>
  <si>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</si>
  <si>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</si>
  <si>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</si>
  <si>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</si>
  <si>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</si>
  <si>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</si>
  <si>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</si>
  <si>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</si>
  <si>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</si>
  <si>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</si>
  <si>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</si>
  <si>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</si>
  <si>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</si>
  <si>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</si>
  <si>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</si>
  <si>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</si>
  <si>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</si>
  <si>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</si>
  <si>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</si>
  <si>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</si>
  <si>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</si>
  <si>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</si>
  <si>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</si>
  <si>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</si>
  <si>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</si>
  <si>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</si>
  <si>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</si>
  <si>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</si>
  <si>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</si>
  <si>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</si>
  <si>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</si>
  <si>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</si>
  <si>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</si>
  <si>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</si>
  <si>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</si>
  <si>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</si>
  <si>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</si>
  <si>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</si>
  <si>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</si>
  <si>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</si>
  <si>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</si>
  <si>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</si>
  <si>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</si>
  <si>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</si>
  <si>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</si>
  <si>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</si>
  <si>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</si>
  <si>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</si>
  <si>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</si>
  <si>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</si>
  <si>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</si>
  <si>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</si>
  <si>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</si>
  <si>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</si>
  <si>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</si>
  <si>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</si>
  <si>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</si>
  <si>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</si>
  <si>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</si>
  <si>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</si>
  <si>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</si>
  <si>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</si>
  <si>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</si>
  <si>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</si>
  <si>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</si>
  <si>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</si>
  <si>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</si>
  <si>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</si>
  <si>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</si>
  <si>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</si>
  <si>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</si>
  <si>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</si>
  <si>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</si>
  <si>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</si>
  <si>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</si>
  <si>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</si>
  <si>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</si>
  <si>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</si>
  <si>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</si>
  <si>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</si>
  <si>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</si>
  <si>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</si>
  <si>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</si>
  <si>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</si>
  <si>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</si>
  <si>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</si>
  <si>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</si>
  <si>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</si>
  <si>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</si>
  <si>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</si>
  <si>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</si>
  <si>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</si>
  <si>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</si>
  <si>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</si>
  <si>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</si>
  <si>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</si>
  <si>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</si>
  <si>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</si>
  <si>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</si>
  <si>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</si>
  <si>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</si>
  <si>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</si>
  <si>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</si>
  <si>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</si>
  <si>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</si>
  <si>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</si>
  <si>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</si>
  <si>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</si>
  <si>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</si>
  <si>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</si>
  <si>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</si>
  <si>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</si>
  <si>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</si>
  <si>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</si>
  <si>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</si>
  <si>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</si>
  <si>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</si>
  <si>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</si>
  <si>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</si>
  <si>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</si>
  <si>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</si>
  <si>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</si>
  <si>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</si>
  <si>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</si>
  <si>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</si>
  <si>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</si>
  <si>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</si>
  <si>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</si>
  <si>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</si>
  <si>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</si>
  <si>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</si>
  <si>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</si>
  <si>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</si>
  <si>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</si>
  <si>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</si>
  <si>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</si>
  <si>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</si>
  <si>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</si>
  <si>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</si>
  <si>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</si>
  <si>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</si>
  <si>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</si>
  <si>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</si>
  <si>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</si>
  <si>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</si>
  <si>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</si>
  <si>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</si>
  <si>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</si>
  <si>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</si>
  <si>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</si>
  <si>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</si>
  <si>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</si>
  <si>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</si>
  <si>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</si>
  <si>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</si>
  <si>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</si>
  <si>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</si>
  <si>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</si>
  <si>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</si>
  <si>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</si>
  <si>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</si>
  <si>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</si>
  <si>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</si>
  <si>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</si>
  <si>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</si>
  <si>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</si>
  <si>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</si>
  <si>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</si>
  <si>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</si>
  <si>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</si>
  <si>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</si>
  <si>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</si>
  <si>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</si>
  <si>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</si>
  <si>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</si>
  <si>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</si>
  <si>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</si>
  <si>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</si>
  <si>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</si>
  <si>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</si>
  <si>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</si>
  <si>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</si>
  <si>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</si>
  <si>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</si>
  <si>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</si>
  <si>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</si>
  <si>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</si>
  <si>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</si>
  <si>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</si>
  <si>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</si>
  <si>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</si>
  <si>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</si>
  <si>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</si>
  <si>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</si>
  <si>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</si>
  <si>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</si>
  <si>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</si>
  <si>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</si>
  <si>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</si>
  <si>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</si>
  <si>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</si>
  <si>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</si>
  <si>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</si>
  <si>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</si>
  <si>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</si>
  <si>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</si>
  <si>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</si>
  <si>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</si>
  <si>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</si>
  <si>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</si>
  <si>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</si>
  <si>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</si>
  <si>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</si>
  <si>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</si>
  <si>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</si>
  <si>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</si>
  <si>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</si>
  <si>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</si>
  <si>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</si>
  <si>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</si>
  <si>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</si>
  <si>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0788.HK</t>
  </si>
  <si>
    <t>中国铁塔</t>
  </si>
  <si>
    <t>C0010</t>
  </si>
  <si>
    <t>CNY</t>
  </si>
  <si>
    <t>CN</t>
  </si>
  <si>
    <t>Base Case Valuation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</si>
</sst>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33" sqref="C3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263</v>
      </c>
    </row>
    <row r="5" spans="1:4" ht="13.9" x14ac:dyDescent="0.4">
      <c r="B5" s="141" t="s">
        <v>198</v>
      </c>
      <c r="C5" s="192" t="s">
        <v>264</v>
      </c>
    </row>
    <row r="6" spans="1:4" ht="13.9" x14ac:dyDescent="0.4">
      <c r="B6" s="141" t="s">
        <v>165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265</v>
      </c>
    </row>
    <row r="10" spans="1:4" ht="13.9" x14ac:dyDescent="0.4">
      <c r="B10" s="140" t="s">
        <v>220</v>
      </c>
      <c r="C10" s="194">
        <v>176008471024</v>
      </c>
    </row>
    <row r="11" spans="1:4" ht="13.9" x14ac:dyDescent="0.4">
      <c r="B11" s="140" t="s">
        <v>221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261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231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250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5.0657157810008631E-2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160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256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106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252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262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210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0788.HK</v>
      </c>
      <c r="D3" s="275"/>
      <c r="E3" s="87"/>
      <c r="F3" s="3" t="s">
        <v>1</v>
      </c>
      <c r="G3" s="132">
        <v>1.0199999809265099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中国铁塔</v>
      </c>
      <c r="D4" s="277"/>
      <c r="E4" s="87"/>
      <c r="F4" s="3" t="s">
        <v>3</v>
      </c>
      <c r="G4" s="280">
        <f>Inputs!C10</f>
        <v>176008471024</v>
      </c>
      <c r="H4" s="280"/>
      <c r="I4" s="39"/>
    </row>
    <row r="5" spans="1:10" ht="15.75" customHeight="1" x14ac:dyDescent="0.4">
      <c r="B5" s="3" t="s">
        <v>165</v>
      </c>
      <c r="C5" s="278">
        <f>Inputs!C6</f>
        <v>45603</v>
      </c>
      <c r="D5" s="279"/>
      <c r="E5" s="34"/>
      <c r="F5" s="35" t="s">
        <v>100</v>
      </c>
      <c r="G5" s="272">
        <f>G3*G4/1000000</f>
        <v>179528.63708738415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C0010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0.69462498271442097</v>
      </c>
      <c r="F20" s="87" t="s">
        <v>214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0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172</v>
      </c>
      <c r="C24" s="172">
        <f>Fin_Analysis!I81</f>
        <v>3.0071588890425386E-2</v>
      </c>
      <c r="F24" s="140" t="s">
        <v>177</v>
      </c>
      <c r="G24" s="179">
        <f>(Fin_Analysis!H86*G7)/G3</f>
        <v>5.2187704713870367E-2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176</v>
      </c>
      <c r="G25" s="172">
        <f>Fin_Analysis!I88</f>
        <v>0.97067227017832514</v>
      </c>
    </row>
    <row r="26" spans="1:8" ht="15.75" customHeight="1" x14ac:dyDescent="0.4">
      <c r="B26" s="138" t="s">
        <v>175</v>
      </c>
      <c r="C26" s="172">
        <f>Fin_Analysis!I83</f>
        <v>0.12419023710495804</v>
      </c>
      <c r="F26" s="141" t="s">
        <v>196</v>
      </c>
      <c r="G26" s="179">
        <f>Fin_Analysis!H88*Exchange_Rate/G3</f>
        <v>5.0657157810008631E-2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242</v>
      </c>
      <c r="G28" s="270" t="s">
        <v>268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0.40293194516214065</v>
      </c>
      <c r="D29" s="129">
        <f>G29*(1+G20)</f>
        <v>0.77450796791868637</v>
      </c>
      <c r="E29" s="87"/>
      <c r="F29" s="131">
        <f>IF(Fin_Analysis!C108="Profit",Fin_Analysis!F100,IF(Fin_Analysis!C108="Dividend",Fin_Analysis!F103,Fin_Analysis!F106))</f>
        <v>0.47403758254369488</v>
      </c>
      <c r="G29" s="271">
        <f>IF(Fin_Analysis!C108="Profit",Fin_Analysis!I100,IF(Fin_Analysis!C108="Dividend",Fin_Analysis!I103,Fin_Analysis!I106))</f>
        <v>0.67348518949450997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agree</v>
      </c>
    </row>
    <row r="34" spans="1:3" ht="15.75" customHeight="1" x14ac:dyDescent="0.4">
      <c r="A34"/>
      <c r="B34" s="19" t="s">
        <v>228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4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160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96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174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162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5.2187704713870367E-2</v>
      </c>
      <c r="D87" s="210"/>
      <c r="E87" s="263">
        <f>E86*Exchange_Rate/Dashboard!G3</f>
        <v>5.2187704713870367E-2</v>
      </c>
      <c r="F87" s="210"/>
      <c r="H87" s="263">
        <f>H86*Exchange_Rate/Dashboard!G3</f>
        <v>5.2187704713870367E-2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224</v>
      </c>
      <c r="C89" s="262">
        <f>C88*Exchange_Rate/Dashboard!G3</f>
        <v>5.0657157810008631E-2</v>
      </c>
      <c r="D89" s="210"/>
      <c r="E89" s="262">
        <f>E88*Exchange_Rate/Dashboard!G3</f>
        <v>5.0657157810008631E-2</v>
      </c>
      <c r="F89" s="210"/>
      <c r="H89" s="262">
        <f>H88*Exchange_Rate/Dashboard!G3</f>
        <v>5.0657157810008631E-2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0.89108308298540639</v>
      </c>
      <c r="H93" s="87" t="s">
        <v>212</v>
      </c>
      <c r="I93" s="144">
        <f>FV(H87,D93,0,-(H86/C93))</f>
        <v>0.89108308298540639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0.85867699321687752</v>
      </c>
      <c r="H94" s="87" t="s">
        <v>213</v>
      </c>
      <c r="I94" s="144">
        <f>FV(H89,D93,0,-(H88/C93))</f>
        <v>0.85867699321687752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83434.630111428924</v>
      </c>
      <c r="D97" s="214"/>
      <c r="E97" s="123">
        <f>PV(C94,D93,0,-F93)*Exchange_Rate</f>
        <v>0.47403758254369488</v>
      </c>
      <c r="F97" s="214"/>
      <c r="H97" s="123">
        <f>PV(C94,D93,0,-I93)*Exchange_Rate</f>
        <v>0.47403758254369488</v>
      </c>
      <c r="I97" s="123">
        <f>PV(C93,D93,0,-I93)*Exchange_Rate</f>
        <v>0.67348518949450997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83434.630111428924</v>
      </c>
      <c r="D100" s="109">
        <f>MIN(F100*(1-C94),E100)</f>
        <v>0.40293194516214065</v>
      </c>
      <c r="E100" s="109">
        <f>MAX(E97-H98+E99,0)</f>
        <v>0.47403758254369488</v>
      </c>
      <c r="F100" s="109">
        <f>(E100+H100)/2</f>
        <v>0.47403758254369488</v>
      </c>
      <c r="H100" s="109">
        <f>MAX(C100*Data!$C$4/Common_Shares,0)</f>
        <v>0.47403758254369488</v>
      </c>
      <c r="I100" s="109">
        <f>MAX(I97-H98+H99,0)</f>
        <v>0.67348518949450997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80400.356243119779</v>
      </c>
      <c r="D103" s="109">
        <f>MIN(F103*(1-C94),E103)</f>
        <v>0.3882784868765386</v>
      </c>
      <c r="E103" s="123">
        <f>PV(C94,D93,0,-F94)*Exchange_Rate</f>
        <v>0.45679821985475133</v>
      </c>
      <c r="F103" s="109">
        <f>(E103+H103)/2</f>
        <v>0.45679821985475133</v>
      </c>
      <c r="H103" s="123">
        <f>PV(C94,D93,0,-I94)*Exchange_Rate</f>
        <v>0.45679821985475133</v>
      </c>
      <c r="I103" s="109">
        <f>PV(C93,D93,0,-I94)*Exchange_Rate</f>
        <v>0.64899249972711692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81917.493177274358</v>
      </c>
      <c r="D106" s="109">
        <f>(D100+D103)/2</f>
        <v>0.39560521601933962</v>
      </c>
      <c r="E106" s="123">
        <f>(E100+E103)/2</f>
        <v>0.46541790119922311</v>
      </c>
      <c r="F106" s="109">
        <f>(F100+F103)/2</f>
        <v>0.46541790119922311</v>
      </c>
      <c r="H106" s="123">
        <f>(H100+H103)/2</f>
        <v>0.46541790119922311</v>
      </c>
      <c r="I106" s="123">
        <f>(I100+I103)/2</f>
        <v>0.6612388446108135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