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73D150D1-6B7F-457B-A99E-E6DDE663F3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4" i="4" l="1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<sst xmlns="http://schemas.openxmlformats.org/spreadsheetml/2006/main" count="391" uniqueCount="268">
  <si>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</si>
  <si>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</si>
  <si>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</si>
  <si>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</si>
  <si>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</si>
  <si>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</si>
  <si>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</si>
  <si>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</si>
  <si>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</si>
  <si>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</si>
  <si>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</si>
  <si>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</si>
  <si>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</si>
  <si>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</si>
  <si>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</si>
  <si>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</si>
  <si>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</si>
  <si>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</si>
  <si>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</si>
  <si>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</si>
  <si>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</si>
  <si>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</si>
  <si>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</si>
  <si>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</si>
  <si>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</si>
  <si>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</si>
  <si>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</si>
  <si>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</si>
  <si>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</si>
  <si>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</si>
  <si>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</si>
  <si>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</si>
  <si>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</si>
  <si>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</si>
  <si>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</si>
  <si>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</si>
  <si>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</si>
  <si>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</si>
  <si>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</si>
  <si>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</si>
  <si>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</si>
  <si>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</si>
  <si>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</si>
  <si>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</si>
  <si>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</si>
  <si>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</si>
  <si>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</si>
  <si>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</si>
  <si>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</si>
  <si>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</si>
  <si>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</si>
  <si>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</si>
  <si>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</si>
  <si>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</si>
  <si>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</si>
  <si>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</si>
  <si>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</si>
  <si>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</si>
  <si>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</si>
  <si>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</si>
  <si>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</si>
  <si>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</si>
  <si>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</si>
  <si>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</si>
  <si>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</si>
  <si>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</si>
  <si>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</si>
  <si>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</si>
  <si>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</si>
  <si>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</si>
  <si>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</si>
  <si>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</si>
  <si>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</si>
  <si>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</si>
  <si>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</si>
  <si>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</si>
  <si>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</si>
  <si>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</si>
  <si>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</si>
  <si>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</si>
  <si>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</si>
  <si>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</si>
  <si>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</si>
  <si>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</si>
  <si>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</si>
  <si>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</si>
  <si>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</si>
  <si>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</si>
  <si>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</si>
  <si>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</si>
  <si>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</si>
  <si>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</si>
  <si>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</si>
  <si>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</si>
  <si>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</si>
  <si>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</si>
  <si>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</si>
  <si>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</si>
  <si>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</si>
  <si>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</si>
  <si>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</si>
  <si>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</si>
  <si>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</si>
  <si>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</si>
  <si>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</si>
  <si>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</si>
  <si>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</si>
  <si>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</si>
  <si>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</si>
  <si>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</si>
  <si>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</si>
  <si>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</si>
  <si>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</si>
  <si>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</si>
  <si>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</si>
  <si>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</si>
  <si>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</si>
  <si>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</si>
  <si>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</si>
  <si>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</si>
  <si>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</si>
  <si>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</si>
  <si>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</si>
  <si>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</si>
  <si>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</si>
  <si>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</si>
  <si>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</si>
  <si>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</si>
  <si>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</si>
  <si>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</si>
  <si>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</si>
  <si>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</si>
  <si>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</si>
  <si>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</si>
  <si>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</si>
  <si>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</si>
  <si>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</si>
  <si>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</si>
  <si>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</si>
  <si>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</si>
  <si>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</si>
  <si>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</si>
  <si>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</si>
  <si>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</si>
  <si>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</si>
  <si>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</si>
  <si>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</si>
  <si>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</si>
  <si>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</si>
  <si>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</si>
  <si>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</si>
  <si>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</si>
  <si>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</si>
  <si>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</si>
  <si>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</si>
  <si>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</si>
  <si>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</si>
  <si>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</si>
  <si>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</si>
  <si>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</si>
  <si>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</si>
  <si>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</si>
  <si>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</si>
  <si>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</si>
  <si>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</si>
  <si>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</si>
  <si>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</si>
  <si>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</si>
  <si>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</si>
  <si>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</si>
  <si>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</si>
  <si>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</si>
  <si>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</si>
  <si>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</si>
  <si>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</si>
  <si>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</si>
  <si>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</si>
  <si>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</si>
  <si>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</si>
  <si>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</si>
  <si>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</si>
  <si>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</si>
  <si>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</si>
  <si>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</si>
  <si>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</si>
  <si>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</si>
  <si>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</si>
  <si>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</si>
  <si>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</si>
  <si>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</si>
  <si>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</si>
  <si>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</si>
  <si>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</si>
  <si>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</si>
  <si>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</si>
  <si>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</si>
  <si>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</si>
  <si>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</si>
  <si>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</si>
  <si>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</si>
  <si>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</si>
  <si>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</si>
  <si>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</si>
  <si>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</si>
  <si>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</si>
  <si>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</si>
  <si>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</si>
  <si>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</si>
  <si>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</si>
  <si>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</si>
  <si>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</si>
  <si>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</si>
  <si>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</si>
  <si>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</si>
  <si>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</si>
  <si>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</si>
  <si>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</si>
  <si>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</si>
  <si>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</si>
  <si>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</si>
  <si>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</si>
  <si>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</si>
  <si>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</si>
  <si>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</si>
  <si>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</si>
  <si>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</si>
  <si>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</si>
  <si>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</si>
  <si>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</si>
  <si>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</si>
  <si>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</si>
  <si>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</si>
  <si>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</si>
  <si>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</si>
  <si>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</si>
  <si>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</si>
  <si>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</si>
  <si>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</si>
  <si>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</si>
  <si>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</si>
  <si>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</si>
  <si>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</si>
  <si>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</si>
  <si>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</si>
  <si>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</si>
  <si>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</si>
  <si>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</si>
  <si>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</si>
  <si>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</si>
  <si>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</si>
  <si>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</si>
  <si>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</si>
  <si>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</si>
  <si>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</si>
  <si>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</si>
  <si>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</si>
  <si>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</si>
  <si>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</si>
  <si>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</si>
  <si>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</si>
  <si>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</si>
  <si>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</si>
  <si>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</si>
  <si>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</si>
  <si>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</si>
  <si>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0887.HK</t>
  </si>
  <si>
    <t>英皇鐘錶珠寶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</si>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</sst>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10" sqref="C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265</v>
      </c>
    </row>
    <row r="5" spans="1:4" ht="13.9" x14ac:dyDescent="0.4">
      <c r="B5" s="141" t="s">
        <v>198</v>
      </c>
      <c r="C5" s="192" t="s">
        <v>266</v>
      </c>
    </row>
    <row r="6" spans="1:4" ht="13.9" x14ac:dyDescent="0.4">
      <c r="B6" s="141" t="s">
        <v>165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71</v>
      </c>
    </row>
    <row r="9" spans="1:4" ht="13.9" x14ac:dyDescent="0.4">
      <c r="B9" s="140" t="s">
        <v>219</v>
      </c>
      <c r="C9" s="193" t="s">
        <v>249</v>
      </c>
    </row>
    <row r="10" spans="1:4" ht="13.9" x14ac:dyDescent="0.4">
      <c r="B10" s="140" t="s">
        <v>220</v>
      </c>
      <c r="C10" s="194">
        <v>6779458129</v>
      </c>
    </row>
    <row r="11" spans="1:4" ht="13.9" x14ac:dyDescent="0.4">
      <c r="B11" s="140" t="s">
        <v>221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262</v>
      </c>
      <c r="C15" s="177" t="s">
        <v>192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244</v>
      </c>
      <c r="C18" s="243" t="s">
        <v>252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263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259</v>
      </c>
      <c r="C45" s="153">
        <f>IF(C44="","",C44*Exchange_Rate/Dashboard!$G$3)</f>
        <v>6.9142858320352898E-2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256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160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257</v>
      </c>
      <c r="C86" s="198">
        <v>5</v>
      </c>
    </row>
    <row r="87" spans="2:8" ht="13.9" x14ac:dyDescent="0.4">
      <c r="B87" s="10" t="s">
        <v>255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254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263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253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210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H8" sqref="H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0887.HK</v>
      </c>
      <c r="D3" s="275"/>
      <c r="E3" s="87"/>
      <c r="F3" s="3" t="s">
        <v>1</v>
      </c>
      <c r="G3" s="132">
        <v>0.17499999701976801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英皇鐘錶珠寶</v>
      </c>
      <c r="D4" s="277"/>
      <c r="E4" s="87"/>
      <c r="F4" s="3" t="s">
        <v>3</v>
      </c>
      <c r="G4" s="280">
        <f>Inputs!C10</f>
        <v>6779458129</v>
      </c>
      <c r="H4" s="280"/>
      <c r="I4" s="39"/>
    </row>
    <row r="5" spans="1:10" ht="15.75" customHeight="1" x14ac:dyDescent="0.4">
      <c r="B5" s="3" t="s">
        <v>165</v>
      </c>
      <c r="C5" s="278">
        <f>Inputs!C6</f>
        <v>45593</v>
      </c>
      <c r="D5" s="279"/>
      <c r="E5" s="34"/>
      <c r="F5" s="35" t="s">
        <v>100</v>
      </c>
      <c r="G5" s="272">
        <f>G3*G4/1000000</f>
        <v>1186.4051523706419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260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HK</v>
      </c>
      <c r="F16" s="110" t="s">
        <v>181</v>
      </c>
    </row>
    <row r="17" spans="1:8" ht="15.75" customHeight="1" thickTop="1" x14ac:dyDescent="0.4">
      <c r="B17" s="87" t="s">
        <v>261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0.69931288683936033</v>
      </c>
      <c r="F20" s="87" t="s">
        <v>214</v>
      </c>
      <c r="G20" s="173">
        <v>0.15</v>
      </c>
    </row>
    <row r="21" spans="1:8" ht="15.75" customHeight="1" x14ac:dyDescent="0.4">
      <c r="B21" s="137" t="s">
        <v>251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0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172</v>
      </c>
      <c r="C24" s="172">
        <f>Fin_Analysis!I81</f>
        <v>2.1205737325435711E-3</v>
      </c>
      <c r="F24" s="140" t="s">
        <v>177</v>
      </c>
      <c r="G24" s="179">
        <f>(Fin_Analysis!H86*G7)/G3</f>
        <v>0.23345165810058197</v>
      </c>
    </row>
    <row r="25" spans="1:8" ht="15.75" customHeight="1" x14ac:dyDescent="0.4">
      <c r="B25" s="137" t="s">
        <v>250</v>
      </c>
      <c r="C25" s="172">
        <f>Fin_Analysis!I82</f>
        <v>0</v>
      </c>
      <c r="F25" s="140" t="s">
        <v>176</v>
      </c>
      <c r="G25" s="172">
        <f>Fin_Analysis!I88</f>
        <v>0.29617634281510608</v>
      </c>
    </row>
    <row r="26" spans="1:8" ht="15.75" customHeight="1" x14ac:dyDescent="0.4">
      <c r="B26" s="138" t="s">
        <v>175</v>
      </c>
      <c r="C26" s="172">
        <f>Fin_Analysis!I83</f>
        <v>7.6565193025493528E-2</v>
      </c>
      <c r="F26" s="141" t="s">
        <v>196</v>
      </c>
      <c r="G26" s="179">
        <f>Fin_Analysis!H88*Exchange_Rate/G3</f>
        <v>6.9142858320352898E-2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264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0.10823054744681634</v>
      </c>
      <c r="D29" s="129">
        <f>G29*(1+G20)</f>
        <v>0.213959684161388</v>
      </c>
      <c r="E29" s="87"/>
      <c r="F29" s="131">
        <f>IF(Fin_Analysis!C108="Profit",Fin_Analysis!F100,IF(Fin_Analysis!C108="Dividend",Fin_Analysis!F103,Fin_Analysis!F106))</f>
        <v>0.12733005581978393</v>
      </c>
      <c r="G29" s="271">
        <f>IF(Fin_Analysis!C108="Profit",Fin_Analysis!I100,IF(Fin_Analysis!C108="Dividend",Fin_Analysis!I103,Fin_Analysis!I106))</f>
        <v>0.18605189927077218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Strongly agree</v>
      </c>
    </row>
    <row r="34" spans="1:3" ht="15.75" customHeight="1" x14ac:dyDescent="0.4">
      <c r="A34"/>
      <c r="B34" s="19" t="s">
        <v>228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unclear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263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1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160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254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174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238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263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253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162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0.23345165810058197</v>
      </c>
      <c r="D87" s="210"/>
      <c r="E87" s="263">
        <f>E86*Exchange_Rate/Dashboard!G3</f>
        <v>0.23345165810058197</v>
      </c>
      <c r="F87" s="210"/>
      <c r="H87" s="263">
        <f>H86*Exchange_Rate/Dashboard!G3</f>
        <v>0.23345165810058197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224</v>
      </c>
      <c r="C89" s="262">
        <f>C88*Exchange_Rate/Dashboard!G3</f>
        <v>6.9142858320352898E-2</v>
      </c>
      <c r="D89" s="210"/>
      <c r="E89" s="262">
        <f>E88*Exchange_Rate/Dashboard!G3</f>
        <v>6.9142858320352898E-2</v>
      </c>
      <c r="F89" s="210"/>
      <c r="H89" s="262">
        <f>H88*Exchange_Rate/Dashboard!G3</f>
        <v>6.9142858320352898E-2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HK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212</v>
      </c>
      <c r="F93" s="144">
        <f>FV(E87,D93,0,-(E86/C93))</f>
        <v>1.7672652350072005</v>
      </c>
      <c r="H93" s="87" t="s">
        <v>212</v>
      </c>
      <c r="I93" s="144">
        <f>FV(H87,D93,0,-(H86/C93))</f>
        <v>1.7672652350072005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0.25610622295789853</v>
      </c>
      <c r="H94" s="87" t="s">
        <v>213</v>
      </c>
      <c r="I94" s="144">
        <f>FV(H89,D93,0,-(H88/C93))</f>
        <v>0.25610622295789853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5956724.5131932413</v>
      </c>
      <c r="D97" s="214"/>
      <c r="E97" s="123">
        <f>PV(C94,D93,0,-F93)*Exchange_Rate</f>
        <v>0.878643159947045</v>
      </c>
      <c r="F97" s="214"/>
      <c r="H97" s="123">
        <f>PV(C94,D93,0,-I93)*Exchange_Rate</f>
        <v>0.878643159947045</v>
      </c>
      <c r="I97" s="123">
        <f>PV(C93,D93,0,-I93)*Exchange_Rate</f>
        <v>1.2838542136570783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5956724.5131932413</v>
      </c>
      <c r="D100" s="109">
        <f>MIN(F100*(1-C94),E100)</f>
        <v>0.74684668595498827</v>
      </c>
      <c r="E100" s="109">
        <f>MAX(E97-H98+E99,0)</f>
        <v>0.878643159947045</v>
      </c>
      <c r="F100" s="109">
        <f>(E100+H100)/2</f>
        <v>0.878643159947045</v>
      </c>
      <c r="H100" s="109">
        <f>MAX(C100*Data!$C$4/Common_Shares,0)</f>
        <v>0.878643159947045</v>
      </c>
      <c r="I100" s="109">
        <f>MAX(I97-H98+H99,0)</f>
        <v>1.2838542136570783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863228.78199345793</v>
      </c>
      <c r="D103" s="109">
        <f>MIN(F103*(1-C94),E103)</f>
        <v>0.10823054744681634</v>
      </c>
      <c r="E103" s="123">
        <f>PV(C94,D93,0,-F94)*Exchange_Rate</f>
        <v>0.12733005581978393</v>
      </c>
      <c r="F103" s="109">
        <f>(E103+H103)/2</f>
        <v>0.12733005581978393</v>
      </c>
      <c r="H103" s="123">
        <f>PV(C94,D93,0,-I94)*Exchange_Rate</f>
        <v>0.12733005581978393</v>
      </c>
      <c r="I103" s="109">
        <f>PV(C93,D93,0,-I94)*Exchange_Rate</f>
        <v>0.18605189927077218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3409976.6475933497</v>
      </c>
      <c r="D106" s="109">
        <f>(D100+D103)/2</f>
        <v>0.42753861670090232</v>
      </c>
      <c r="E106" s="123">
        <f>(E100+E103)/2</f>
        <v>0.50298660788341443</v>
      </c>
      <c r="F106" s="109">
        <f>(F100+F103)/2</f>
        <v>0.50298660788341443</v>
      </c>
      <c r="H106" s="123">
        <f>(H100+H103)/2</f>
        <v>0.50298660788341443</v>
      </c>
      <c r="I106" s="123">
        <f>(I100+I103)/2</f>
        <v>0.73495305646392528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2024-11-28T03:23:31Z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