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9ABB243B-C1C6-40D0-9109-A3933077250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44" i="4" l="1"/>
  <c r="C94" i="4" l="1"/>
  <c r="C96" i="4"/>
  <c r="C95" i="4"/>
  <c r="C82" i="3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7" i="4"/>
  <c r="C93" i="4"/>
  <c r="C92" i="4"/>
  <c r="C91" i="4"/>
  <c r="E91" i="4" s="1"/>
  <c r="F91" i="4" l="1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93" i="4" l="1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H103" i="3" l="1"/>
  <c r="C103" i="3" s="1"/>
  <c r="I103" i="3"/>
  <c r="C50" i="2"/>
  <c r="C51" i="2"/>
  <c r="E103" i="3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I85" i="3" l="1"/>
  <c r="H86" i="3"/>
  <c r="F93" i="3"/>
  <c r="E97" i="3" s="1"/>
  <c r="E100" i="3" s="1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<sst xmlns="http://schemas.openxmlformats.org/spreadsheetml/2006/main" count="391" uniqueCount="269">
  <si>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</si>
  <si>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</si>
  <si>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</si>
  <si>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</si>
  <si>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</si>
  <si>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</si>
  <si>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</si>
  <si>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</si>
  <si>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</si>
  <si>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</si>
  <si>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</si>
  <si>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</si>
  <si>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</si>
  <si>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</si>
  <si>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</si>
  <si>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</si>
  <si>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</si>
  <si>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</si>
  <si>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</si>
  <si>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</si>
  <si>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</si>
  <si>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</si>
  <si>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</si>
  <si>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</si>
  <si>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</si>
  <si>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</si>
  <si>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</si>
  <si>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</si>
  <si>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</si>
  <si>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</si>
  <si>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</si>
  <si>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</si>
  <si>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</si>
  <si>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</si>
  <si>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</si>
  <si>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</si>
  <si>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</si>
  <si>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</si>
  <si>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</si>
  <si>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</si>
  <si>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</si>
  <si>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</si>
  <si>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</si>
  <si>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</si>
  <si>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</si>
  <si>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</si>
  <si>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</si>
  <si>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</si>
  <si>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</si>
  <si>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</si>
  <si>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</si>
  <si>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</si>
  <si>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</si>
  <si>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</si>
  <si>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</si>
  <si>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</si>
  <si>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</si>
  <si>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</si>
  <si>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</si>
  <si>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</si>
  <si>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</si>
  <si>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</si>
  <si>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</si>
  <si>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</si>
  <si>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</si>
  <si>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</si>
  <si>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</si>
  <si>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</si>
  <si>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</si>
  <si>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</si>
  <si>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</si>
  <si>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</si>
  <si>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</si>
  <si>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</si>
  <si>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</si>
  <si>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</si>
  <si>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</si>
  <si>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</si>
  <si>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</si>
  <si>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</si>
  <si>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</si>
  <si>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</si>
  <si>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</si>
  <si>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</si>
  <si>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</si>
  <si>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</si>
  <si>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</si>
  <si>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</si>
  <si>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</si>
  <si>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</si>
  <si>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</si>
  <si>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</si>
  <si>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</si>
  <si>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</si>
  <si>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</si>
  <si>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</si>
  <si>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</si>
  <si>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</si>
  <si>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</si>
  <si>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</si>
  <si>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</si>
  <si>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</si>
  <si>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</si>
  <si>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</si>
  <si>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</si>
  <si>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</si>
  <si>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</si>
  <si>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</si>
  <si>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</si>
  <si>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</si>
  <si>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</si>
  <si>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</si>
  <si>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</si>
  <si>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</si>
  <si>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</si>
  <si>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</si>
  <si>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</si>
  <si>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</si>
  <si>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</si>
  <si>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</si>
  <si>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</si>
  <si>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</si>
  <si>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</si>
  <si>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</si>
  <si>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</si>
  <si>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</si>
  <si>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</si>
  <si>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</si>
  <si>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</si>
  <si>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</si>
  <si>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</si>
  <si>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</si>
  <si>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</si>
  <si>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</si>
  <si>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</si>
  <si>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</si>
  <si>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</si>
  <si>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</si>
  <si>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</si>
  <si>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</si>
  <si>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</si>
  <si>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</si>
  <si>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</si>
  <si>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</si>
  <si>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</si>
  <si>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</si>
  <si>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</si>
  <si>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</si>
  <si>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</si>
  <si>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</si>
  <si>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</si>
  <si>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</si>
  <si>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</si>
  <si>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</si>
  <si>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</si>
  <si>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</si>
  <si>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</si>
  <si>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</si>
  <si>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</si>
  <si>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</si>
  <si>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</si>
  <si>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</si>
  <si>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</si>
  <si>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</si>
  <si>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</si>
  <si>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</si>
  <si>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</si>
  <si>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</si>
  <si>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</si>
  <si>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</si>
  <si>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</si>
  <si>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</si>
  <si>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</si>
  <si>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</si>
  <si>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</si>
  <si>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</si>
  <si>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</si>
  <si>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</si>
  <si>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</si>
  <si>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</si>
  <si>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</si>
  <si>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</si>
  <si>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</si>
  <si>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</si>
  <si>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</si>
  <si>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</si>
  <si>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</si>
  <si>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</si>
  <si>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</si>
  <si>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</si>
  <si>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</si>
  <si>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</si>
  <si>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</si>
  <si>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</si>
  <si>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</si>
  <si>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</si>
  <si>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</si>
  <si>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</si>
  <si>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</si>
  <si>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</si>
  <si>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</si>
  <si>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</si>
  <si>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</si>
  <si>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</si>
  <si>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</si>
  <si>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</si>
  <si>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</si>
  <si>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</si>
  <si>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</si>
  <si>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</si>
  <si>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</si>
  <si>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</si>
  <si>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</si>
  <si>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</si>
  <si>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</si>
  <si>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</si>
  <si>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</si>
  <si>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</si>
  <si>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</si>
  <si>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</si>
  <si>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</si>
  <si>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</si>
  <si>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</si>
  <si>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</si>
  <si>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</si>
  <si>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</si>
  <si>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</si>
  <si>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</si>
  <si>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</si>
  <si>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</si>
  <si>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</si>
  <si>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</si>
  <si>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</si>
  <si>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</si>
  <si>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</si>
  <si>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</si>
  <si>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</si>
  <si>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</si>
  <si>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</si>
  <si>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</si>
  <si>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</si>
  <si>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</si>
  <si>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</si>
  <si>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</si>
  <si>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</si>
  <si>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</si>
  <si>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</si>
  <si>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</si>
  <si>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</si>
  <si>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</si>
  <si>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</si>
  <si>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</si>
  <si>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</si>
  <si>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</si>
  <si>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</si>
  <si>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</si>
  <si>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</si>
  <si>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</si>
  <si>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</si>
  <si>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</si>
  <si>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</si>
  <si>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</si>
  <si>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</si>
  <si>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0939.HK</t>
  </si>
  <si>
    <t>建设银行</t>
  </si>
  <si>
    <t>C0014</t>
  </si>
  <si>
    <t>CNY</t>
  </si>
  <si>
    <t>CN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</si>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</sst>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0.47700776116848903</c:v>
                </c:pt>
                <c:pt idx="1">
                  <c:v>0.15697168260849415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0.36602055622301682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10" zoomScaleNormal="100" workbookViewId="0">
      <selection activeCell="C19" sqref="C19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217</v>
      </c>
    </row>
    <row r="4" spans="1:4" ht="13.9" x14ac:dyDescent="0.4">
      <c r="B4" s="141" t="s">
        <v>197</v>
      </c>
      <c r="C4" s="189" t="s">
        <v>263</v>
      </c>
    </row>
    <row r="5" spans="1:4" ht="13.9" x14ac:dyDescent="0.4">
      <c r="B5" s="141" t="s">
        <v>198</v>
      </c>
      <c r="C5" s="192" t="s">
        <v>264</v>
      </c>
    </row>
    <row r="6" spans="1:4" ht="13.9" x14ac:dyDescent="0.4">
      <c r="B6" s="141" t="s">
        <v>165</v>
      </c>
      <c r="C6" s="190">
        <v>45605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218</v>
      </c>
      <c r="C8" s="192" t="s">
        <v>46</v>
      </c>
    </row>
    <row r="9" spans="1:4" ht="13.9" x14ac:dyDescent="0.4">
      <c r="B9" s="140" t="s">
        <v>219</v>
      </c>
      <c r="C9" s="193" t="s">
        <v>265</v>
      </c>
    </row>
    <row r="10" spans="1:4" ht="13.9" x14ac:dyDescent="0.4">
      <c r="B10" s="140" t="s">
        <v>220</v>
      </c>
      <c r="C10" s="194">
        <v>250010977486</v>
      </c>
    </row>
    <row r="11" spans="1:4" ht="13.9" x14ac:dyDescent="0.4">
      <c r="B11" s="140" t="s">
        <v>221</v>
      </c>
      <c r="C11" s="193" t="s">
        <v>266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222</v>
      </c>
      <c r="C14" s="220">
        <v>45473</v>
      </c>
    </row>
    <row r="15" spans="1:4" ht="13.9" x14ac:dyDescent="0.4">
      <c r="B15" s="219" t="s">
        <v>260</v>
      </c>
      <c r="C15" s="177" t="s">
        <v>267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227</v>
      </c>
      <c r="C17" s="243" t="s">
        <v>235</v>
      </c>
      <c r="D17" s="24"/>
    </row>
    <row r="18" spans="2:13" ht="13.9" x14ac:dyDescent="0.4">
      <c r="B18" s="241" t="s">
        <v>244</v>
      </c>
      <c r="C18" s="243" t="s">
        <v>236</v>
      </c>
      <c r="D18" s="24"/>
    </row>
    <row r="19" spans="2:13" ht="13.9" x14ac:dyDescent="0.4">
      <c r="B19" s="241" t="s">
        <v>245</v>
      </c>
      <c r="C19" s="243" t="s">
        <v>236</v>
      </c>
      <c r="D19" s="24"/>
    </row>
    <row r="20" spans="2:13" ht="13.9" x14ac:dyDescent="0.4">
      <c r="B20" s="242" t="s">
        <v>231</v>
      </c>
      <c r="C20" s="243" t="s">
        <v>236</v>
      </c>
      <c r="D20" s="24"/>
    </row>
    <row r="21" spans="2:13" ht="13.9" x14ac:dyDescent="0.4">
      <c r="B21" s="225" t="s">
        <v>237</v>
      </c>
      <c r="C21" s="243" t="s">
        <v>235</v>
      </c>
      <c r="D21" s="24"/>
    </row>
    <row r="22" spans="2:13" ht="78.75" x14ac:dyDescent="0.4">
      <c r="B22" s="227" t="s">
        <v>233</v>
      </c>
      <c r="C22" s="244" t="s">
        <v>234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1402495</v>
      </c>
      <c r="D25" s="150">
        <v>1324203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669001</v>
      </c>
      <c r="D26" s="151">
        <v>567720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220152</v>
      </c>
      <c r="D27" s="151">
        <v>219991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261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-193</v>
      </c>
      <c r="D30" s="151">
        <v>136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11972903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213823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8852611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2466431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241133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35175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67759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12220942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-498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3475378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210</v>
      </c>
      <c r="C44" s="251">
        <f>0.4+0.197</f>
        <v>0.59699999999999998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257</v>
      </c>
      <c r="C45" s="153">
        <f>IF(C44="","",C44*Exchange_Rate/Dashboard!$G$3)</f>
        <v>0.10928568165619625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254</v>
      </c>
      <c r="C47" s="195" t="s">
        <v>34</v>
      </c>
      <c r="D47" s="195" t="s">
        <v>199</v>
      </c>
      <c r="E47" s="111" t="s">
        <v>36</v>
      </c>
    </row>
    <row r="48" spans="2:13" ht="13.9" x14ac:dyDescent="0.4">
      <c r="B48" s="3" t="s">
        <v>38</v>
      </c>
      <c r="C48" s="59">
        <v>3339708</v>
      </c>
      <c r="D48" s="60">
        <v>0.9</v>
      </c>
      <c r="E48" s="112"/>
    </row>
    <row r="49" spans="2:5" ht="13.9" x14ac:dyDescent="0.4">
      <c r="B49" s="1" t="s">
        <v>136</v>
      </c>
      <c r="C49" s="59">
        <v>683021</v>
      </c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>
        <v>2962684</v>
      </c>
      <c r="D51" s="60">
        <v>0.6</v>
      </c>
      <c r="E51" s="112"/>
    </row>
    <row r="52" spans="2:5" ht="13.9" x14ac:dyDescent="0.4">
      <c r="B52" s="3" t="s">
        <v>44</v>
      </c>
      <c r="C52" s="59">
        <v>6961515</v>
      </c>
      <c r="D52" s="60">
        <v>0.5</v>
      </c>
      <c r="E52" s="112"/>
    </row>
    <row r="53" spans="2:5" ht="13.9" x14ac:dyDescent="0.4">
      <c r="B53" s="1" t="s">
        <v>160</v>
      </c>
      <c r="C53" s="59">
        <v>25589624</v>
      </c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>
        <v>82672</v>
      </c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161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21347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4094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181735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5722</v>
      </c>
      <c r="D70" s="60">
        <v>0.05</v>
      </c>
      <c r="E70" s="112"/>
    </row>
    <row r="71" spans="2:5" ht="13.9" x14ac:dyDescent="0.4">
      <c r="B71" s="3" t="s">
        <v>75</v>
      </c>
      <c r="C71" s="59">
        <v>118797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343468</v>
      </c>
      <c r="D72" s="249">
        <v>0</v>
      </c>
      <c r="E72" s="250"/>
    </row>
    <row r="73" spans="2:5" ht="13.9" x14ac:dyDescent="0.4">
      <c r="B73" s="3" t="s">
        <v>39</v>
      </c>
      <c r="C73" s="59">
        <v>33710837</v>
      </c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>
        <v>2498474</v>
      </c>
    </row>
    <row r="77" spans="2:5" ht="14.25" thickBot="1" x14ac:dyDescent="0.45">
      <c r="B77" s="80" t="s">
        <v>16</v>
      </c>
      <c r="C77" s="83">
        <v>37038911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223</v>
      </c>
      <c r="C83" s="59">
        <v>3234661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255</v>
      </c>
      <c r="C86" s="198">
        <v>5</v>
      </c>
    </row>
    <row r="87" spans="2:8" ht="13.9" x14ac:dyDescent="0.4">
      <c r="B87" s="10" t="s">
        <v>253</v>
      </c>
      <c r="C87" s="237" t="s">
        <v>268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209</v>
      </c>
      <c r="F89" s="50" t="s">
        <v>208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1402495</v>
      </c>
      <c r="D91" s="210"/>
      <c r="E91" s="252">
        <f>C91</f>
        <v>1402495</v>
      </c>
      <c r="F91" s="252">
        <f>C91</f>
        <v>1402495</v>
      </c>
    </row>
    <row r="92" spans="2:8" ht="13.9" x14ac:dyDescent="0.4">
      <c r="B92" s="104" t="s">
        <v>106</v>
      </c>
      <c r="C92" s="77">
        <f>C26</f>
        <v>669001</v>
      </c>
      <c r="D92" s="160">
        <f>C92/C91</f>
        <v>0.47700776116848903</v>
      </c>
      <c r="E92" s="253">
        <f>E91*D92</f>
        <v>669001</v>
      </c>
      <c r="F92" s="253">
        <f>F91*D92</f>
        <v>669001</v>
      </c>
    </row>
    <row r="93" spans="2:8" ht="13.9" x14ac:dyDescent="0.4">
      <c r="B93" s="104" t="s">
        <v>252</v>
      </c>
      <c r="C93" s="77">
        <f>C27+C28</f>
        <v>220152</v>
      </c>
      <c r="D93" s="160">
        <f>C93/C91</f>
        <v>0.15697168260849415</v>
      </c>
      <c r="E93" s="253">
        <f>E91*D93</f>
        <v>220152</v>
      </c>
      <c r="F93" s="253">
        <f>F91*D93</f>
        <v>220152</v>
      </c>
    </row>
    <row r="94" spans="2:8" ht="13.9" x14ac:dyDescent="0.4">
      <c r="B94" s="104" t="s">
        <v>261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251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174</v>
      </c>
      <c r="C97" s="77">
        <f>MAX(C30,0)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210</v>
      </c>
      <c r="C98" s="238">
        <f>C44</f>
        <v>0.59699999999999998</v>
      </c>
      <c r="D98" s="267"/>
      <c r="E98" s="255">
        <f>F98</f>
        <v>0.4</v>
      </c>
      <c r="F98" s="255">
        <v>0.4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22" zoomScaleNormal="100" workbookViewId="0">
      <selection activeCell="C8" sqref="C8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0939.HK : 建设银行</v>
      </c>
      <c r="D2" s="87"/>
      <c r="E2" s="7"/>
      <c r="F2" s="7"/>
      <c r="G2" s="86"/>
      <c r="H2" s="86"/>
    </row>
    <row r="3" spans="1:10" ht="15.75" customHeight="1" x14ac:dyDescent="0.4">
      <c r="B3" s="3" t="s">
        <v>197</v>
      </c>
      <c r="C3" s="274" t="str">
        <f>Inputs!C4</f>
        <v>0939.HK</v>
      </c>
      <c r="D3" s="275"/>
      <c r="E3" s="87"/>
      <c r="F3" s="3" t="s">
        <v>1</v>
      </c>
      <c r="G3" s="132">
        <v>5.8699998855590803</v>
      </c>
      <c r="H3" s="134" t="s">
        <v>2</v>
      </c>
    </row>
    <row r="4" spans="1:10" ht="15.75" customHeight="1" x14ac:dyDescent="0.4">
      <c r="B4" s="35" t="s">
        <v>198</v>
      </c>
      <c r="C4" s="276" t="str">
        <f>Inputs!C5</f>
        <v>建设银行</v>
      </c>
      <c r="D4" s="277"/>
      <c r="E4" s="87"/>
      <c r="F4" s="3" t="s">
        <v>3</v>
      </c>
      <c r="G4" s="280">
        <f>Inputs!C10</f>
        <v>250010977486</v>
      </c>
      <c r="H4" s="280"/>
      <c r="I4" s="39"/>
    </row>
    <row r="5" spans="1:10" ht="15.75" customHeight="1" x14ac:dyDescent="0.4">
      <c r="B5" s="3" t="s">
        <v>165</v>
      </c>
      <c r="C5" s="278">
        <f>Inputs!C6</f>
        <v>45605</v>
      </c>
      <c r="D5" s="279"/>
      <c r="E5" s="34"/>
      <c r="F5" s="35" t="s">
        <v>100</v>
      </c>
      <c r="G5" s="272">
        <f>G3*G4/1000000</f>
        <v>1467564.4092313338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195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1.07455098628998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193</v>
      </c>
      <c r="F9" s="143" t="s">
        <v>188</v>
      </c>
    </row>
    <row r="10" spans="1:10" ht="15.75" customHeight="1" x14ac:dyDescent="0.4">
      <c r="B10" s="1" t="s">
        <v>178</v>
      </c>
      <c r="C10" s="173">
        <v>4.2099999999999999E-2</v>
      </c>
      <c r="F10" s="110" t="s">
        <v>185</v>
      </c>
    </row>
    <row r="11" spans="1:10" ht="15.75" customHeight="1" thickBot="1" x14ac:dyDescent="0.45">
      <c r="B11" s="122" t="s">
        <v>182</v>
      </c>
      <c r="C11" s="174">
        <v>5.3099999999999994E-2</v>
      </c>
      <c r="D11" s="137" t="s">
        <v>192</v>
      </c>
      <c r="F11" s="110" t="s">
        <v>180</v>
      </c>
    </row>
    <row r="12" spans="1:10" ht="15.75" customHeight="1" thickTop="1" x14ac:dyDescent="0.4">
      <c r="B12" s="87" t="s">
        <v>258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179</v>
      </c>
      <c r="C14" s="173">
        <v>2.1309999999999999E-2</v>
      </c>
      <c r="F14" s="110" t="s">
        <v>184</v>
      </c>
    </row>
    <row r="15" spans="1:10" ht="15.75" customHeight="1" x14ac:dyDescent="0.4">
      <c r="B15" s="1" t="s">
        <v>189</v>
      </c>
      <c r="C15" s="173">
        <v>6.5000000000000002E-2</v>
      </c>
      <c r="F15" s="110" t="s">
        <v>183</v>
      </c>
    </row>
    <row r="16" spans="1:10" ht="15.75" customHeight="1" thickBot="1" x14ac:dyDescent="0.45">
      <c r="B16" s="122" t="s">
        <v>190</v>
      </c>
      <c r="C16" s="174">
        <v>0.16</v>
      </c>
      <c r="D16" s="266" t="str">
        <f>Inputs!C15</f>
        <v>CN</v>
      </c>
      <c r="F16" s="110" t="s">
        <v>181</v>
      </c>
    </row>
    <row r="17" spans="1:8" ht="15.75" customHeight="1" thickTop="1" x14ac:dyDescent="0.4">
      <c r="B17" s="87" t="s">
        <v>259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186</v>
      </c>
      <c r="C19" s="135" t="s">
        <v>52</v>
      </c>
      <c r="D19" s="87"/>
      <c r="E19" s="87"/>
      <c r="F19" s="142" t="s">
        <v>215</v>
      </c>
      <c r="G19" s="87"/>
      <c r="H19" s="87"/>
    </row>
    <row r="20" spans="1:8" ht="15.75" customHeight="1" x14ac:dyDescent="0.4">
      <c r="B20" s="137" t="s">
        <v>171</v>
      </c>
      <c r="C20" s="172">
        <f>Fin_Analysis!I75</f>
        <v>0.47700776116848903</v>
      </c>
      <c r="F20" s="87" t="s">
        <v>214</v>
      </c>
      <c r="G20" s="173">
        <v>0.15</v>
      </c>
    </row>
    <row r="21" spans="1:8" ht="15.75" customHeight="1" x14ac:dyDescent="0.4">
      <c r="B21" s="137" t="s">
        <v>250</v>
      </c>
      <c r="C21" s="172">
        <f>Fin_Analysis!I77</f>
        <v>0.15697168260849415</v>
      </c>
      <c r="F21" s="87"/>
      <c r="G21" s="29"/>
    </row>
    <row r="22" spans="1:8" ht="15.75" customHeight="1" x14ac:dyDescent="0.4">
      <c r="B22" s="137" t="s">
        <v>194</v>
      </c>
      <c r="C22" s="172">
        <f>Fin_Analysis!I78</f>
        <v>0</v>
      </c>
      <c r="F22" s="142" t="s">
        <v>187</v>
      </c>
    </row>
    <row r="23" spans="1:8" ht="15.75" customHeight="1" x14ac:dyDescent="0.4">
      <c r="B23" s="137" t="s">
        <v>173</v>
      </c>
      <c r="C23" s="172">
        <f>Fin_Analysis!I80</f>
        <v>0</v>
      </c>
      <c r="F23" s="140" t="s">
        <v>191</v>
      </c>
      <c r="G23" s="178">
        <f>G3/(Data!C36*Data!C4/Common_Shares*Exchange_Rate)</f>
        <v>0.41952287453191028</v>
      </c>
    </row>
    <row r="24" spans="1:8" ht="15.75" customHeight="1" x14ac:dyDescent="0.4">
      <c r="B24" s="137" t="s">
        <v>172</v>
      </c>
      <c r="C24" s="172">
        <f>Fin_Analysis!I81</f>
        <v>0</v>
      </c>
      <c r="F24" s="140" t="s">
        <v>177</v>
      </c>
      <c r="G24" s="179">
        <f>(Fin_Analysis!H86*G7)/G3</f>
        <v>0.28190184478495334</v>
      </c>
    </row>
    <row r="25" spans="1:8" ht="15.75" customHeight="1" x14ac:dyDescent="0.4">
      <c r="B25" s="137" t="s">
        <v>249</v>
      </c>
      <c r="C25" s="172">
        <f>Fin_Analysis!I82</f>
        <v>0</v>
      </c>
      <c r="F25" s="140" t="s">
        <v>176</v>
      </c>
      <c r="G25" s="172">
        <f>Fin_Analysis!I88</f>
        <v>0.2597472795768383</v>
      </c>
    </row>
    <row r="26" spans="1:8" ht="15.75" customHeight="1" x14ac:dyDescent="0.4">
      <c r="B26" s="138" t="s">
        <v>175</v>
      </c>
      <c r="C26" s="172">
        <f>Fin_Analysis!I83</f>
        <v>0.36602055622301682</v>
      </c>
      <c r="F26" s="141" t="s">
        <v>196</v>
      </c>
      <c r="G26" s="179">
        <f>Fin_Analysis!H88*Exchange_Rate/G3</f>
        <v>7.3223237290583762E-2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168</v>
      </c>
      <c r="D28" s="43" t="s">
        <v>169</v>
      </c>
      <c r="E28" s="58"/>
      <c r="F28" s="53" t="s">
        <v>243</v>
      </c>
      <c r="G28" s="270" t="s">
        <v>262</v>
      </c>
      <c r="H28" s="270"/>
    </row>
    <row r="29" spans="1:8" ht="15.75" customHeight="1" x14ac:dyDescent="0.4">
      <c r="B29" s="87" t="s">
        <v>170</v>
      </c>
      <c r="C29" s="130">
        <f>IF(Fin_Analysis!C108="Profit",Fin_Analysis!D100,IF(Fin_Analysis!C108="Dividend",Fin_Analysis!D103,Fin_Analysis!D106))</f>
        <v>3.5919855666606009</v>
      </c>
      <c r="D29" s="129">
        <f>G29*(1+G20)</f>
        <v>6.9044449700012311</v>
      </c>
      <c r="E29" s="87"/>
      <c r="F29" s="131">
        <f>IF(Fin_Analysis!C108="Profit",Fin_Analysis!F100,IF(Fin_Analysis!C108="Dividend",Fin_Analysis!F103,Fin_Analysis!F106))</f>
        <v>4.2258653725418833</v>
      </c>
      <c r="G29" s="271">
        <f>IF(Fin_Analysis!C108="Profit",Fin_Analysis!I100,IF(Fin_Analysis!C108="Dividend",Fin_Analysis!I103,Fin_Analysis!I106))</f>
        <v>6.0038651913054188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225</v>
      </c>
      <c r="C31"/>
    </row>
    <row r="32" spans="1:8" ht="15.75" customHeight="1" x14ac:dyDescent="0.4">
      <c r="A32"/>
      <c r="B32" s="197" t="s">
        <v>226</v>
      </c>
      <c r="C32" s="225"/>
    </row>
    <row r="33" spans="1:3" ht="15.75" customHeight="1" x14ac:dyDescent="0.4">
      <c r="A33"/>
      <c r="B33" s="20" t="s">
        <v>227</v>
      </c>
      <c r="C33" s="246" t="str">
        <f>Inputs!C17</f>
        <v>Strongly agree</v>
      </c>
    </row>
    <row r="34" spans="1:3" ht="15.75" customHeight="1" x14ac:dyDescent="0.4">
      <c r="A34"/>
      <c r="B34" s="19" t="s">
        <v>228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229</v>
      </c>
      <c r="C35" s="225"/>
    </row>
    <row r="36" spans="1:3" ht="15.75" customHeight="1" x14ac:dyDescent="0.4">
      <c r="A36"/>
      <c r="B36" s="20" t="s">
        <v>244</v>
      </c>
      <c r="C36" s="246" t="str">
        <f>Inputs!C18</f>
        <v>agree</v>
      </c>
    </row>
    <row r="37" spans="1:3" ht="15.75" customHeight="1" x14ac:dyDescent="0.4">
      <c r="A37"/>
      <c r="B37" s="20" t="s">
        <v>245</v>
      </c>
      <c r="C37" s="246" t="str">
        <f>Inputs!C19</f>
        <v>agree</v>
      </c>
    </row>
    <row r="38" spans="1:3" ht="15.75" customHeight="1" x14ac:dyDescent="0.4">
      <c r="A38"/>
      <c r="B38" s="197" t="s">
        <v>230</v>
      </c>
      <c r="C38" s="225"/>
    </row>
    <row r="39" spans="1:3" ht="15.75" customHeight="1" x14ac:dyDescent="0.4">
      <c r="A39"/>
      <c r="B39" s="19" t="s">
        <v>231</v>
      </c>
      <c r="C39" s="246" t="str">
        <f>Inputs!C20</f>
        <v>agree</v>
      </c>
    </row>
    <row r="40" spans="1:3" ht="15.75" customHeight="1" x14ac:dyDescent="0.4">
      <c r="A40"/>
      <c r="B40" s="1" t="s">
        <v>237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232</v>
      </c>
      <c r="C42"/>
    </row>
    <row r="43" spans="1:3" ht="65.650000000000006" x14ac:dyDescent="0.4">
      <c r="A43"/>
      <c r="B43" s="227" t="s">
        <v>233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202</v>
      </c>
      <c r="F2" s="119" t="s">
        <v>205</v>
      </c>
      <c r="G2" s="149" t="s">
        <v>206</v>
      </c>
      <c r="H2" s="148" t="s">
        <v>207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203</v>
      </c>
      <c r="F3" s="85" t="str">
        <f>H14</f>
        <v/>
      </c>
      <c r="G3" s="85">
        <f>C14</f>
        <v>513342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204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1402495</v>
      </c>
      <c r="D6" s="201">
        <f>IF(Inputs!D25="","",Inputs!D25)</f>
        <v>1324203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5.9123865449632662E-2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669001</v>
      </c>
      <c r="D8" s="200">
        <f>IF(Inputs!D26="","",Inputs!D26)</f>
        <v>567720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733494</v>
      </c>
      <c r="D9" s="152">
        <f t="shared" si="2"/>
        <v>756483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220152</v>
      </c>
      <c r="D10" s="200">
        <f>IF(Inputs!D27="","",Inputs!D27)</f>
        <v>219991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246</v>
      </c>
      <c r="C12" s="200">
        <f>IF(Inputs!C30="","",MAX(Inputs!C30,0)/(1-Fin_Analysis!$I$84))</f>
        <v>0</v>
      </c>
      <c r="D12" s="200">
        <f>IF(Inputs!D30="","",MAX(Inputs!D30,0)/(1-Fin_Analysis!$I$84))</f>
        <v>181.33333333333334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247</v>
      </c>
      <c r="C13" s="230">
        <f t="shared" ref="C13:M13" si="3">IF(C14="","",C14/C6)</f>
        <v>0.36602055622301682</v>
      </c>
      <c r="D13" s="230">
        <f t="shared" si="3"/>
        <v>0.40500638245545934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239</v>
      </c>
      <c r="C14" s="231">
        <f>IF(C6="","",C9-C10-MAX(C11,0)-MAX(C12,0))</f>
        <v>513342</v>
      </c>
      <c r="D14" s="231">
        <f t="shared" ref="D14:M14" si="4">IF(D6="","",D9-D10-MAX(D11,0)-MAX(D12,0))</f>
        <v>536310.66666666663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248</v>
      </c>
      <c r="C15" s="233">
        <f>IF(D14="","",IF(ABS(C14+D14)=ABS(C14)+ABS(D14),IF(C14&lt;0,-1,1)*(C14-D14)/D14,"Turn"))</f>
        <v>-4.282716733833368E-2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261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241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513342</v>
      </c>
      <c r="D22" s="162">
        <f t="shared" ref="D22:M22" si="8">IF(D6="","",D14-MAX(D16,0)-MAX(D17,0)-ABS(MAX(D21,0)-MAX(D19,0)))</f>
        <v>536310.66666666663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0.27451541716726263</v>
      </c>
      <c r="D23" s="154">
        <f t="shared" si="9"/>
        <v>0.30375478684159452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385006.5</v>
      </c>
      <c r="D24" s="77">
        <f>IF(D6="","",D22*(1-Fin_Analysis!$I$84))</f>
        <v>402233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-4.2827167338333749E-2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40294387</v>
      </c>
      <c r="D27" s="65">
        <f t="shared" ref="D27:M27" si="20">IF(D36="","",D36+D31+D32)</f>
        <v>14928506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39536552</v>
      </c>
      <c r="D28" s="200">
        <f>IF(Inputs!D34="","",Inputs!D34)</f>
        <v>11972903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>
        <f>IF(Inputs!D35="","",Inputs!D35)</f>
        <v>213823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>
        <f>IF(Inputs!D36="","",Inputs!D36)</f>
        <v>8852611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37038911</v>
      </c>
      <c r="D31" s="200">
        <f>IF(Inputs!D37="","",Inputs!D37)</f>
        <v>2466431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>
        <f>IF(Inputs!D38="","",Inputs!D38)</f>
        <v>241133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36209311</v>
      </c>
      <c r="D33" s="200">
        <f>IF(Inputs!D39="","",Inputs!D39)</f>
        <v>35175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>
        <f>IF(Inputs!D40="","",Inputs!D40)</f>
        <v>67759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36209311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3255476</v>
      </c>
      <c r="D36" s="200">
        <f>IF(Inputs!D41="","",Inputs!D41)</f>
        <v>12220942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20815</v>
      </c>
      <c r="D37" s="200">
        <f>IF(Inputs!D42="","",Inputs!D42)</f>
        <v>-498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13367926</v>
      </c>
      <c r="D38" s="200">
        <f>IF(Inputs!D43="","",Inputs!D43)</f>
        <v>3475378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26926461</v>
      </c>
      <c r="D39" s="65">
        <f>IF(D38="","",D27-D38)</f>
        <v>11453128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159</v>
      </c>
      <c r="C40" s="156">
        <f>IF(C6="","",C14/MAX(C39,0))</f>
        <v>1.9064592261121876E-2</v>
      </c>
      <c r="D40" s="156">
        <f>IF(D6="","",D14/MAX(D39,0))</f>
        <v>4.6826567088629992E-2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256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0.47700776116848903</v>
      </c>
      <c r="D42" s="157">
        <f t="shared" si="34"/>
        <v>0.42872580714588321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240</v>
      </c>
      <c r="C43" s="154">
        <f t="shared" ref="C43:M43" si="35">IF(C6="","",(C10+MAX(C11,0))/C6)</f>
        <v>0.15697168260849415</v>
      </c>
      <c r="D43" s="154">
        <f t="shared" si="35"/>
        <v>0.16613087268341786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1.3693771523953151E-4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242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0.36602055622301682</v>
      </c>
      <c r="D48" s="154">
        <f t="shared" si="40"/>
        <v>0.40500638245545934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>
        <f t="shared" si="41"/>
        <v>0.16147297657534382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>
        <f t="shared" si="42"/>
        <v>6.6852370822298397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0.91920770503345783</v>
      </c>
      <c r="D53" s="157">
        <f t="shared" ref="D53:M53" si="43">IF(D36="","",(D27-D36)/D27)</f>
        <v>0.1813687183432823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1.4177071748203107E-2</v>
      </c>
      <c r="D54" s="158">
        <f t="shared" si="44"/>
        <v>5.2102382756588357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1.0674328950978067</v>
      </c>
      <c r="D56" s="159">
        <f t="shared" si="46"/>
        <v>4.8543433811852026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91" zoomScaleNormal="100" workbookViewId="0">
      <selection activeCell="E86" sqref="E86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3255476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3234661</v>
      </c>
      <c r="K3" s="24"/>
    </row>
    <row r="4" spans="1:11" ht="15" customHeight="1" x14ac:dyDescent="0.4">
      <c r="B4" s="3" t="s">
        <v>25</v>
      </c>
      <c r="C4" s="87"/>
      <c r="D4" s="65">
        <f>D3-I3</f>
        <v>20815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1.0674328950978067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-13719339.066050904</v>
      </c>
      <c r="E6" s="56">
        <f>1-D6/D3</f>
        <v>5.2142344363929896</v>
      </c>
      <c r="F6" s="87"/>
      <c r="G6" s="87"/>
      <c r="H6" s="1" t="s">
        <v>30</v>
      </c>
      <c r="I6" s="63">
        <f>(C24+C25)/I28</f>
        <v>1.0674328950978067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0.1885966085773958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199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3339708</v>
      </c>
      <c r="D11" s="199">
        <f>Inputs!D48</f>
        <v>0.9</v>
      </c>
      <c r="E11" s="88">
        <f t="shared" ref="E11:E22" si="0">C11*D11</f>
        <v>3005737.2</v>
      </c>
      <c r="F11" s="112"/>
      <c r="G11" s="87"/>
      <c r="H11" s="3" t="s">
        <v>39</v>
      </c>
      <c r="I11" s="40">
        <f>Inputs!C73</f>
        <v>33710837</v>
      </c>
      <c r="J11" s="87"/>
      <c r="K11" s="24"/>
    </row>
    <row r="12" spans="1:11" ht="13.9" x14ac:dyDescent="0.4">
      <c r="B12" s="1" t="s">
        <v>136</v>
      </c>
      <c r="C12" s="40">
        <f>Inputs!C49</f>
        <v>683021</v>
      </c>
      <c r="D12" s="199">
        <f>Inputs!D49</f>
        <v>0.8</v>
      </c>
      <c r="E12" s="88">
        <f t="shared" si="0"/>
        <v>546416.80000000005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2962684</v>
      </c>
      <c r="D14" s="199">
        <f>Inputs!D51</f>
        <v>0.6</v>
      </c>
      <c r="E14" s="88">
        <f t="shared" si="0"/>
        <v>1777610.4</v>
      </c>
      <c r="F14" s="112"/>
      <c r="G14" s="87"/>
      <c r="H14" s="86" t="s">
        <v>43</v>
      </c>
      <c r="I14" s="206">
        <f>Inputs!C76</f>
        <v>2498474</v>
      </c>
      <c r="J14" s="87"/>
      <c r="K14" s="27"/>
    </row>
    <row r="15" spans="1:11" ht="13.9" x14ac:dyDescent="0.4">
      <c r="B15" s="3" t="s">
        <v>44</v>
      </c>
      <c r="C15" s="40">
        <f>Inputs!C52</f>
        <v>6961515</v>
      </c>
      <c r="D15" s="199">
        <f>Inputs!D52</f>
        <v>0.5</v>
      </c>
      <c r="E15" s="88">
        <f t="shared" si="0"/>
        <v>3480757.5</v>
      </c>
      <c r="F15" s="112"/>
      <c r="G15" s="87"/>
      <c r="H15" s="1" t="s">
        <v>54</v>
      </c>
      <c r="I15" s="84">
        <f>SUM(I11:I14)</f>
        <v>36209311</v>
      </c>
      <c r="J15" s="87"/>
    </row>
    <row r="16" spans="1:11" ht="13.9" x14ac:dyDescent="0.4">
      <c r="B16" s="1" t="s">
        <v>160</v>
      </c>
      <c r="C16" s="40">
        <f>Inputs!C53</f>
        <v>25589624</v>
      </c>
      <c r="D16" s="199">
        <f>Inputs!D53</f>
        <v>0.6</v>
      </c>
      <c r="E16" s="88">
        <f t="shared" si="0"/>
        <v>15353774.399999999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829600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6985413</v>
      </c>
      <c r="D24" s="62">
        <f>IF(E24=0,0,E24/C24)</f>
        <v>0.76298486574809543</v>
      </c>
      <c r="E24" s="88">
        <f>SUM(E11:E14)</f>
        <v>5329764.4000000004</v>
      </c>
      <c r="F24" s="113">
        <f>E24/$E$28</f>
        <v>0.22056360896385802</v>
      </c>
      <c r="G24" s="87"/>
    </row>
    <row r="25" spans="2:10" ht="15" customHeight="1" x14ac:dyDescent="0.4">
      <c r="B25" s="23" t="s">
        <v>55</v>
      </c>
      <c r="C25" s="61">
        <f>SUM(C15:C17)</f>
        <v>32551139</v>
      </c>
      <c r="D25" s="62">
        <f>IF(E25=0,0,E25/C25)</f>
        <v>0.57861360550240648</v>
      </c>
      <c r="E25" s="88">
        <f>SUM(E15:E17)</f>
        <v>18834531.899999999</v>
      </c>
      <c r="F25" s="113">
        <f>E25/$E$28</f>
        <v>0.77943639103614204</v>
      </c>
      <c r="G25" s="87"/>
      <c r="H25" s="23" t="s">
        <v>56</v>
      </c>
      <c r="I25" s="63">
        <f>E28/I28</f>
        <v>0.65240299046589134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58</v>
      </c>
      <c r="I26" s="63">
        <f>E24/($I$28-I22)</f>
        <v>0.14719320121832752</v>
      </c>
      <c r="J26" s="8" t="str">
        <f>IF(I26&lt;1,"Liquidity Problem!","")</f>
        <v>Liquidity Problem!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0.65240299046589134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39536552</v>
      </c>
      <c r="D28" s="57">
        <f>E28/C28</f>
        <v>0.61118876274289158</v>
      </c>
      <c r="E28" s="70">
        <f>SUM(E24:E27)</f>
        <v>24164296.299999997</v>
      </c>
      <c r="F28" s="112"/>
      <c r="G28" s="87"/>
      <c r="H28" s="78" t="s">
        <v>16</v>
      </c>
      <c r="I28" s="207">
        <f>Inputs!C77</f>
        <v>37038911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82672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161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21347</v>
      </c>
      <c r="D35" s="199">
        <f>Inputs!D65</f>
        <v>0.1</v>
      </c>
      <c r="E35" s="88">
        <f t="shared" si="1"/>
        <v>2134.7000000000003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4094</v>
      </c>
      <c r="D37" s="199">
        <f>Inputs!D67</f>
        <v>0.1</v>
      </c>
      <c r="E37" s="88">
        <f t="shared" si="1"/>
        <v>409.40000000000003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181735</v>
      </c>
      <c r="D38" s="199">
        <f>Inputs!D68</f>
        <v>0.1</v>
      </c>
      <c r="E38" s="88">
        <f t="shared" si="1"/>
        <v>18173.5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5722</v>
      </c>
      <c r="D40" s="199">
        <f>Inputs!D70</f>
        <v>0.05</v>
      </c>
      <c r="E40" s="88">
        <f t="shared" si="1"/>
        <v>286.10000000000002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118797</v>
      </c>
      <c r="D41" s="199">
        <f>Inputs!D71</f>
        <v>0.9</v>
      </c>
      <c r="E41" s="88">
        <f t="shared" si="1"/>
        <v>106917.3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343468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82672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21347</v>
      </c>
      <c r="D45" s="62">
        <f>IF(E45=0,0,E45/C45)</f>
        <v>0.10000000000000002</v>
      </c>
      <c r="E45" s="88">
        <f>SUM(E32:E35)</f>
        <v>2134.7000000000003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185829</v>
      </c>
      <c r="D46" s="62">
        <f>IF(E46=0,0,E46/C46)</f>
        <v>0.1</v>
      </c>
      <c r="E46" s="88">
        <f>E36+E37+E38+E39</f>
        <v>18582.900000000001</v>
      </c>
      <c r="F46" s="87"/>
      <c r="G46" s="87"/>
      <c r="H46" s="23" t="s">
        <v>81</v>
      </c>
      <c r="I46" s="63">
        <f>(E44+E24)/E64</f>
        <v>0.14719320121832752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467987</v>
      </c>
      <c r="D47" s="62">
        <f>IF(E47=0,0,E47/C47)</f>
        <v>0.22907345716868205</v>
      </c>
      <c r="E47" s="88">
        <f>E40+E41+E42</f>
        <v>107203.40000000001</v>
      </c>
      <c r="F47" s="87"/>
      <c r="G47" s="87"/>
      <c r="H47" s="23" t="s">
        <v>83</v>
      </c>
      <c r="I47" s="63">
        <f>(E44+E45+E24+E25)/$I$49</f>
        <v>0.6524606244497847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757835</v>
      </c>
      <c r="D48" s="82">
        <f>E48/C48</f>
        <v>0.16879795733899861</v>
      </c>
      <c r="E48" s="76">
        <f>SUM(E30:E42)</f>
        <v>127921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40294387</v>
      </c>
      <c r="D49" s="56">
        <f>E49/C49</f>
        <v>0.60286851615337878</v>
      </c>
      <c r="E49" s="88">
        <f>E28+E48</f>
        <v>24292217.299999997</v>
      </c>
      <c r="F49" s="87"/>
      <c r="G49" s="87"/>
      <c r="H49" s="3" t="s">
        <v>86</v>
      </c>
      <c r="I49" s="52">
        <f>I28+I48</f>
        <v>37038911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20815</v>
      </c>
      <c r="D53" s="29">
        <f>IF(E53=0, 0,E53/C53)</f>
        <v>1</v>
      </c>
      <c r="E53" s="88">
        <f>IF(C53=0,0,MAX(C53,C53*Dashboard!G23))</f>
        <v>20815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36209311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9945546</v>
      </c>
      <c r="D61" s="56">
        <f t="shared" ref="D61:D70" si="2">IF(E61=0,0,E61/C61)</f>
        <v>0.52893049813454185</v>
      </c>
      <c r="E61" s="52">
        <f>E14+E15+(E19*G19)+(E20*G20)+E31+E32+(E35*G35)+(E36*G36)+(E37*G37)</f>
        <v>5260502.6000000006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3422380</v>
      </c>
      <c r="D62" s="107">
        <f t="shared" si="2"/>
        <v>0.87825933999146799</v>
      </c>
      <c r="E62" s="118">
        <f>E11+E30</f>
        <v>3005737.2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13367926</v>
      </c>
      <c r="D63" s="29">
        <f t="shared" si="2"/>
        <v>0.6183636713728069</v>
      </c>
      <c r="E63" s="61">
        <f>E61+E62</f>
        <v>8266239.8000000007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36209311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-22841385</v>
      </c>
      <c r="D65" s="29">
        <f t="shared" si="2"/>
        <v>1.2233527520332064</v>
      </c>
      <c r="E65" s="61">
        <f>E63-E64</f>
        <v>-27943071.199999999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26926461</v>
      </c>
      <c r="D68" s="29">
        <f t="shared" si="2"/>
        <v>0.59517578266226656</v>
      </c>
      <c r="E68" s="68">
        <f>E49-E63</f>
        <v>16025977.499999996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829600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26096861</v>
      </c>
      <c r="D70" s="29">
        <f t="shared" si="2"/>
        <v>0.58230671880422691</v>
      </c>
      <c r="E70" s="68">
        <f>E68-E69</f>
        <v>15196377.499999996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209</v>
      </c>
      <c r="F72" s="282"/>
      <c r="H72" s="282" t="s">
        <v>208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1402495</v>
      </c>
      <c r="D74" s="210"/>
      <c r="E74" s="239">
        <f>Inputs!E91</f>
        <v>1402495</v>
      </c>
      <c r="F74" s="210"/>
      <c r="H74" s="239">
        <f>Inputs!F91</f>
        <v>1402495</v>
      </c>
      <c r="I74" s="210"/>
      <c r="K74" s="24"/>
    </row>
    <row r="75" spans="1:11" ht="15" customHeight="1" x14ac:dyDescent="0.4">
      <c r="B75" s="104" t="s">
        <v>106</v>
      </c>
      <c r="C75" s="77">
        <f>Data!C8</f>
        <v>669001</v>
      </c>
      <c r="D75" s="160">
        <f>C75/$C$74</f>
        <v>0.47700776116848903</v>
      </c>
      <c r="E75" s="239">
        <f>Inputs!E92</f>
        <v>669001</v>
      </c>
      <c r="F75" s="161">
        <f>E75/E74</f>
        <v>0.47700776116848903</v>
      </c>
      <c r="H75" s="239">
        <f>Inputs!F92</f>
        <v>669001</v>
      </c>
      <c r="I75" s="161">
        <f>H75/$H$74</f>
        <v>0.47700776116848903</v>
      </c>
      <c r="K75" s="24"/>
    </row>
    <row r="76" spans="1:11" ht="15" customHeight="1" x14ac:dyDescent="0.4">
      <c r="B76" s="35" t="s">
        <v>96</v>
      </c>
      <c r="C76" s="162">
        <f>C74-C75</f>
        <v>733494</v>
      </c>
      <c r="D76" s="211"/>
      <c r="E76" s="163">
        <f>E74-E75</f>
        <v>733494</v>
      </c>
      <c r="F76" s="211"/>
      <c r="H76" s="163">
        <f>H74-H75</f>
        <v>733494</v>
      </c>
      <c r="I76" s="211"/>
      <c r="K76" s="24"/>
    </row>
    <row r="77" spans="1:11" ht="15" customHeight="1" x14ac:dyDescent="0.4">
      <c r="B77" s="104" t="s">
        <v>252</v>
      </c>
      <c r="C77" s="77">
        <f>Data!C10+MAX(Data!C11,0)</f>
        <v>220152</v>
      </c>
      <c r="D77" s="160">
        <f>C77/$C$74</f>
        <v>0.15697168260849415</v>
      </c>
      <c r="E77" s="239">
        <f>Inputs!E93</f>
        <v>220152</v>
      </c>
      <c r="F77" s="161">
        <f>E77/E74</f>
        <v>0.15697168260849415</v>
      </c>
      <c r="H77" s="239">
        <f>Inputs!F93</f>
        <v>220152</v>
      </c>
      <c r="I77" s="161">
        <f>H77/$H$74</f>
        <v>0.15697168260849415</v>
      </c>
      <c r="K77" s="24"/>
    </row>
    <row r="78" spans="1:11" ht="15" customHeight="1" x14ac:dyDescent="0.4">
      <c r="B78" s="73" t="s">
        <v>174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238</v>
      </c>
      <c r="C79" s="258">
        <f>C76-C77-C78</f>
        <v>513342</v>
      </c>
      <c r="D79" s="259">
        <f>C79/C74</f>
        <v>0.36602055622301682</v>
      </c>
      <c r="E79" s="260">
        <f>E76-E77-E78</f>
        <v>513342</v>
      </c>
      <c r="F79" s="259">
        <f>E79/E74</f>
        <v>0.36602055622301682</v>
      </c>
      <c r="G79" s="261"/>
      <c r="H79" s="260">
        <f>H76-H77-H78</f>
        <v>513342</v>
      </c>
      <c r="I79" s="259">
        <f>H79/H74</f>
        <v>0.36602055622301682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261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251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513342</v>
      </c>
      <c r="D83" s="165">
        <f>C83/$C$74</f>
        <v>0.36602055622301682</v>
      </c>
      <c r="E83" s="166">
        <f>E79-E81-E82-E80</f>
        <v>513342</v>
      </c>
      <c r="F83" s="165">
        <f>E83/E74</f>
        <v>0.36602055622301682</v>
      </c>
      <c r="H83" s="166">
        <f>H79-H81-H82-H80</f>
        <v>513342</v>
      </c>
      <c r="I83" s="165">
        <f>H83/$H$74</f>
        <v>0.36602055622301682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166</v>
      </c>
      <c r="C85" s="258">
        <f>C83*(1-I84)</f>
        <v>385006.5</v>
      </c>
      <c r="D85" s="259">
        <f>C85/$C$74</f>
        <v>0.27451541716726263</v>
      </c>
      <c r="E85" s="265">
        <f>E83*(1-F84)</f>
        <v>385006.5</v>
      </c>
      <c r="F85" s="259">
        <f>E85/E74</f>
        <v>0.27451541716726263</v>
      </c>
      <c r="G85" s="261"/>
      <c r="H85" s="265">
        <f>H83*(1-I84)</f>
        <v>385006.5</v>
      </c>
      <c r="I85" s="259">
        <f>H85/$H$74</f>
        <v>0.27451541716726263</v>
      </c>
      <c r="K85" s="24"/>
    </row>
    <row r="86" spans="1:11" ht="15" customHeight="1" x14ac:dyDescent="0.4">
      <c r="B86" s="87" t="s">
        <v>162</v>
      </c>
      <c r="C86" s="168">
        <f>C85*Data!C4/Common_Shares</f>
        <v>1.5399583805137493</v>
      </c>
      <c r="D86" s="210"/>
      <c r="E86" s="169">
        <f>E85*Data!C4/Common_Shares</f>
        <v>1.5399583805137493</v>
      </c>
      <c r="F86" s="210"/>
      <c r="H86" s="169">
        <f>H85*Data!C4/Common_Shares</f>
        <v>1.5399583805137493</v>
      </c>
      <c r="I86" s="210"/>
      <c r="K86" s="24"/>
    </row>
    <row r="87" spans="1:11" ht="15" customHeight="1" x14ac:dyDescent="0.4">
      <c r="B87" s="87" t="s">
        <v>211</v>
      </c>
      <c r="C87" s="262">
        <f>C86*Exchange_Rate/Dashboard!G3</f>
        <v>0.28190184478495334</v>
      </c>
      <c r="D87" s="210"/>
      <c r="E87" s="263">
        <f>E86*Exchange_Rate/Dashboard!G3</f>
        <v>0.28190184478495334</v>
      </c>
      <c r="F87" s="210"/>
      <c r="H87" s="263">
        <f>H86*Exchange_Rate/Dashboard!G3</f>
        <v>0.28190184478495334</v>
      </c>
      <c r="I87" s="210"/>
      <c r="K87" s="24"/>
    </row>
    <row r="88" spans="1:11" ht="15" customHeight="1" x14ac:dyDescent="0.4">
      <c r="B88" s="86" t="s">
        <v>210</v>
      </c>
      <c r="C88" s="170">
        <f>Inputs!C44</f>
        <v>0.59699999999999998</v>
      </c>
      <c r="D88" s="167">
        <f>C88/C86</f>
        <v>0.38767281476843118</v>
      </c>
      <c r="E88" s="171">
        <f>Inputs!E98</f>
        <v>0.4</v>
      </c>
      <c r="F88" s="167">
        <f>E88/E86</f>
        <v>0.2597472795768383</v>
      </c>
      <c r="H88" s="171">
        <f>Inputs!F98</f>
        <v>0.4</v>
      </c>
      <c r="I88" s="167">
        <f>H88/H86</f>
        <v>0.2597472795768383</v>
      </c>
      <c r="K88" s="24"/>
    </row>
    <row r="89" spans="1:11" ht="15" customHeight="1" x14ac:dyDescent="0.4">
      <c r="B89" s="87" t="s">
        <v>224</v>
      </c>
      <c r="C89" s="262">
        <f>C88*Exchange_Rate/Dashboard!G3</f>
        <v>0.10928568165619625</v>
      </c>
      <c r="D89" s="210"/>
      <c r="E89" s="262">
        <f>E88*Exchange_Rate/Dashboard!G3</f>
        <v>7.3223237290583762E-2</v>
      </c>
      <c r="F89" s="210"/>
      <c r="H89" s="262">
        <f>H88*Exchange_Rate/Dashboard!G3</f>
        <v>7.3223237290583762E-2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">
        <v>156</v>
      </c>
      <c r="C91" s="21"/>
      <c r="K91" s="50" t="s">
        <v>133</v>
      </c>
    </row>
    <row r="92" spans="1:11" ht="15" customHeight="1" x14ac:dyDescent="0.4">
      <c r="B92" s="10" t="s">
        <v>157</v>
      </c>
      <c r="C92" s="199" t="str">
        <f>Inputs!C15</f>
        <v>CN</v>
      </c>
      <c r="D92" s="10" t="s">
        <v>158</v>
      </c>
      <c r="E92" s="282" t="s">
        <v>209</v>
      </c>
      <c r="F92" s="282"/>
      <c r="G92" s="87"/>
      <c r="H92" s="282" t="s">
        <v>208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212</v>
      </c>
      <c r="F93" s="144">
        <f>FV(E87,D93,0,-(E86/C93))</f>
        <v>74.03726204147965</v>
      </c>
      <c r="H93" s="87" t="s">
        <v>212</v>
      </c>
      <c r="I93" s="144">
        <f>FV(H87,D93,0,-(H86/C93))</f>
        <v>74.03726204147965</v>
      </c>
      <c r="K93" s="24"/>
    </row>
    <row r="94" spans="1:11" ht="15" customHeight="1" x14ac:dyDescent="0.4">
      <c r="B94" s="1" t="s">
        <v>214</v>
      </c>
      <c r="C94" s="183">
        <f>Dashboard!G20</f>
        <v>0.15</v>
      </c>
      <c r="D94" s="145"/>
      <c r="E94" s="87" t="s">
        <v>213</v>
      </c>
      <c r="F94" s="144">
        <f>FV(E89,D93,0,-(E88/C93))</f>
        <v>7.9100245580861914</v>
      </c>
      <c r="H94" s="87" t="s">
        <v>213</v>
      </c>
      <c r="I94" s="144">
        <f>FV(H89,D93,0,-(H88/C93))</f>
        <v>7.9100245580861914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216</v>
      </c>
      <c r="E96" s="184" t="str">
        <f>E72</f>
        <v>Pessimistic Case</v>
      </c>
      <c r="F96" s="228" t="s">
        <v>243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9888883.3344131075</v>
      </c>
      <c r="D97" s="214"/>
      <c r="E97" s="123">
        <f>PV(C94,D93,0,-F93)*Exchange_Rate</f>
        <v>39.553796532661693</v>
      </c>
      <c r="F97" s="214"/>
      <c r="H97" s="123">
        <f>PV(C94,D93,0,-I93)*Exchange_Rate</f>
        <v>39.553796532661693</v>
      </c>
      <c r="I97" s="123">
        <f>PV(C93,D93,0,-I93)*Exchange_Rate</f>
        <v>56.195747202325435</v>
      </c>
      <c r="K97" s="24"/>
    </row>
    <row r="98" spans="2:11" ht="15" customHeight="1" x14ac:dyDescent="0.4">
      <c r="B98" s="28" t="s">
        <v>145</v>
      </c>
      <c r="C98" s="91">
        <f>E53*Exchange_Rate</f>
        <v>22366.778779625933</v>
      </c>
      <c r="D98" s="214"/>
      <c r="E98" s="214"/>
      <c r="F98" s="214"/>
      <c r="H98" s="123">
        <f>C98*Data!$C$4/Common_Shares</f>
        <v>8.9463186794981497E-2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-30026254.717931136</v>
      </c>
      <c r="D99" s="215"/>
      <c r="E99" s="146">
        <f>IF(H99&gt;0,H99*0.85,H99*1.15)</f>
        <v>-138.11470709342919</v>
      </c>
      <c r="F99" s="215"/>
      <c r="H99" s="146">
        <f>C99*Data!$C$4/Common_Shares</f>
        <v>-120.09974529863408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-20159738.162297655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164</v>
      </c>
      <c r="C102" s="127" t="str">
        <f>C96</f>
        <v>HKD</v>
      </c>
      <c r="D102" s="124" t="s">
        <v>216</v>
      </c>
      <c r="E102" s="184" t="str">
        <f>E96</f>
        <v>Pessimistic Case</v>
      </c>
      <c r="F102" s="228" t="s">
        <v>243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163</v>
      </c>
      <c r="C103" s="91">
        <f>H103*Common_Shares/Data!C4</f>
        <v>1056512.7325134359</v>
      </c>
      <c r="D103" s="109">
        <f>MIN(F103*(1-C94),E103)</f>
        <v>3.5919855666606009</v>
      </c>
      <c r="E103" s="123">
        <f>PV(C94,D93,0,-F94)*Exchange_Rate</f>
        <v>4.2258653725418833</v>
      </c>
      <c r="F103" s="109">
        <f>(E103+H103)/2</f>
        <v>4.2258653725418833</v>
      </c>
      <c r="H103" s="123">
        <f>PV(C94,D93,0,-I94)*Exchange_Rate</f>
        <v>4.2258653725418833</v>
      </c>
      <c r="I103" s="109">
        <f>PV(C93,D93,0,-I94)*Exchange_Rate</f>
        <v>6.0038651913054188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200</v>
      </c>
      <c r="C105" s="127" t="str">
        <f>C102</f>
        <v>HKD</v>
      </c>
      <c r="D105" s="124" t="s">
        <v>216</v>
      </c>
      <c r="E105" s="185" t="str">
        <f>E96</f>
        <v>Pessimistic Case</v>
      </c>
      <c r="F105" s="228" t="s">
        <v>243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201</v>
      </c>
      <c r="C106" s="91">
        <f>E106*Common_Shares/Data!C4</f>
        <v>528256.36625671794</v>
      </c>
      <c r="D106" s="109">
        <f>(D100+D103)/2</f>
        <v>1.7959927833303004</v>
      </c>
      <c r="E106" s="123">
        <f>(E100+E103)/2</f>
        <v>2.1129326862709417</v>
      </c>
      <c r="F106" s="109">
        <f>(F100+F103)/2</f>
        <v>2.1129326862709417</v>
      </c>
      <c r="H106" s="123">
        <f>(H100+H103)/2</f>
        <v>2.1129326862709417</v>
      </c>
      <c r="I106" s="123">
        <f>(I100+I103)/2</f>
        <v>3.0019325956527094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167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2024-11-28T03:27:29Z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