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FB53FD9-01DF-4AF8-9040-C401CC4FDA9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4" i="4" l="1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<sst xmlns="http://schemas.openxmlformats.org/spreadsheetml/2006/main" count="391" uniqueCount="268">
  <si>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</si>
  <si>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</si>
  <si>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</si>
  <si>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</si>
  <si>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</si>
  <si>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</si>
  <si>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</si>
  <si>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</si>
  <si>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</si>
  <si>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</si>
  <si>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</si>
  <si>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</si>
  <si>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</si>
  <si>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</si>
  <si>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</si>
  <si>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</si>
  <si>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</si>
  <si>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</si>
  <si>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</si>
  <si>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</si>
  <si>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</si>
  <si>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</si>
  <si>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</si>
  <si>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</si>
  <si>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</si>
  <si>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</si>
  <si>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</si>
  <si>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</si>
  <si>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</si>
  <si>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</si>
  <si>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</si>
  <si>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</si>
  <si>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</si>
  <si>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</si>
  <si>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</si>
  <si>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</si>
  <si>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</si>
  <si>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</si>
  <si>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</si>
  <si>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</si>
  <si>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</si>
  <si>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</si>
  <si>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</si>
  <si>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</si>
  <si>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</si>
  <si>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</si>
  <si>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</si>
  <si>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</si>
  <si>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</si>
  <si>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</si>
  <si>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</si>
  <si>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</si>
  <si>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</si>
  <si>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</si>
  <si>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</si>
  <si>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</si>
  <si>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</si>
  <si>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</si>
  <si>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</si>
  <si>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</si>
  <si>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</si>
  <si>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</si>
  <si>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</si>
  <si>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</si>
  <si>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</si>
  <si>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</si>
  <si>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</si>
  <si>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</si>
  <si>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</si>
  <si>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</si>
  <si>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</si>
  <si>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</si>
  <si>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</si>
  <si>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</si>
  <si>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</si>
  <si>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</si>
  <si>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</si>
  <si>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</si>
  <si>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</si>
  <si>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</si>
  <si>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</si>
  <si>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</si>
  <si>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</si>
  <si>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</si>
  <si>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</si>
  <si>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</si>
  <si>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</si>
  <si>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</si>
  <si>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</si>
  <si>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</si>
  <si>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</si>
  <si>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</si>
  <si>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</si>
  <si>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</si>
  <si>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</si>
  <si>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</si>
  <si>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</si>
  <si>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</si>
  <si>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</si>
  <si>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</si>
  <si>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</si>
  <si>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</si>
  <si>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</si>
  <si>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</si>
  <si>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</si>
  <si>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</si>
  <si>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</si>
  <si>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</si>
  <si>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</si>
  <si>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</si>
  <si>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</si>
  <si>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</si>
  <si>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</si>
  <si>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</si>
  <si>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</si>
  <si>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</si>
  <si>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</si>
  <si>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</si>
  <si>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</si>
  <si>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</si>
  <si>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</si>
  <si>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</si>
  <si>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</si>
  <si>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</si>
  <si>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</si>
  <si>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</si>
  <si>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</si>
  <si>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</si>
  <si>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</si>
  <si>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</si>
  <si>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</si>
  <si>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</si>
  <si>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</si>
  <si>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</si>
  <si>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</si>
  <si>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</si>
  <si>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</si>
  <si>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</si>
  <si>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</si>
  <si>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</si>
  <si>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</si>
  <si>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</si>
  <si>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</si>
  <si>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</si>
  <si>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</si>
  <si>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</si>
  <si>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</si>
  <si>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</si>
  <si>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</si>
  <si>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</si>
  <si>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</si>
  <si>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</si>
  <si>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</si>
  <si>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</si>
  <si>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</si>
  <si>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</si>
  <si>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</si>
  <si>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</si>
  <si>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</si>
  <si>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</si>
  <si>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</si>
  <si>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</si>
  <si>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</si>
  <si>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</si>
  <si>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</si>
  <si>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</si>
  <si>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</si>
  <si>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</si>
  <si>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</si>
  <si>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</si>
  <si>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</si>
  <si>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</si>
  <si>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</si>
  <si>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</si>
  <si>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</si>
  <si>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</si>
  <si>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</si>
  <si>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</si>
  <si>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</si>
  <si>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</si>
  <si>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</si>
  <si>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</si>
  <si>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</si>
  <si>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</si>
  <si>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</si>
  <si>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</si>
  <si>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</si>
  <si>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</si>
  <si>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</si>
  <si>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</si>
  <si>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</si>
  <si>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</si>
  <si>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</si>
  <si>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</si>
  <si>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</si>
  <si>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</si>
  <si>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</si>
  <si>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</si>
  <si>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</si>
  <si>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</si>
  <si>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</si>
  <si>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</si>
  <si>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</si>
  <si>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</si>
  <si>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</si>
  <si>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</si>
  <si>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</si>
  <si>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</si>
  <si>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</si>
  <si>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</si>
  <si>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</si>
  <si>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</si>
  <si>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</si>
  <si>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</si>
  <si>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</si>
  <si>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</si>
  <si>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</si>
  <si>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</si>
  <si>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</si>
  <si>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</si>
  <si>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</si>
  <si>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</si>
  <si>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</si>
  <si>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</si>
  <si>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</si>
  <si>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</si>
  <si>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</si>
  <si>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</si>
  <si>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</si>
  <si>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</si>
  <si>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</si>
  <si>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</si>
  <si>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</si>
  <si>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</si>
  <si>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</si>
  <si>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</si>
  <si>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</si>
  <si>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</si>
  <si>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</si>
  <si>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</si>
  <si>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</si>
  <si>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</si>
  <si>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</si>
  <si>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</si>
  <si>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</si>
  <si>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</si>
  <si>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</si>
  <si>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</si>
  <si>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</si>
  <si>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</si>
  <si>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</si>
  <si>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</si>
  <si>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</si>
  <si>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</si>
  <si>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</si>
  <si>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</si>
  <si>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</si>
  <si>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</si>
  <si>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</si>
  <si>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</si>
  <si>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</si>
  <si>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</si>
  <si>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中国移动</t>
  </si>
  <si>
    <t>C0010</t>
  </si>
  <si>
    <t>CNY</t>
  </si>
  <si>
    <t>CN</t>
  </si>
  <si>
    <t>0941.HK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</si>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</sst>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1.6744128904032363E-4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8.1398263564478268E-2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03" sqref="C10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266</v>
      </c>
    </row>
    <row r="5" spans="1:4" ht="13.9" x14ac:dyDescent="0.4">
      <c r="B5" s="141" t="s">
        <v>198</v>
      </c>
      <c r="C5" s="192" t="s">
        <v>262</v>
      </c>
    </row>
    <row r="6" spans="1:4" ht="13.9" x14ac:dyDescent="0.4">
      <c r="B6" s="141" t="s">
        <v>165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263</v>
      </c>
    </row>
    <row r="10" spans="1:4" ht="13.9" x14ac:dyDescent="0.4">
      <c r="B10" s="140" t="s">
        <v>220</v>
      </c>
      <c r="C10" s="194">
        <v>21481669957</v>
      </c>
    </row>
    <row r="11" spans="1:4" ht="13.9" x14ac:dyDescent="0.4">
      <c r="B11" s="140" t="s">
        <v>221</v>
      </c>
      <c r="C11" s="193" t="s">
        <v>264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259</v>
      </c>
      <c r="C15" s="177" t="s">
        <v>265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231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6.9075375596895902E-2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>
        <v>172891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176336</v>
      </c>
      <c r="D51" s="60">
        <v>0.6</v>
      </c>
      <c r="E51" s="112"/>
    </row>
    <row r="52" spans="2:5" ht="13.9" x14ac:dyDescent="0.4">
      <c r="B52" s="3" t="s">
        <v>44</v>
      </c>
      <c r="C52" s="59">
        <v>19344</v>
      </c>
      <c r="D52" s="60">
        <v>0.5</v>
      </c>
      <c r="E52" s="112"/>
    </row>
    <row r="53" spans="2:5" ht="13.9" x14ac:dyDescent="0.4">
      <c r="B53" s="1" t="s">
        <v>160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28822</v>
      </c>
      <c r="D54" s="60">
        <v>0.1</v>
      </c>
      <c r="E54" s="112"/>
    </row>
    <row r="55" spans="2:5" ht="13.9" x14ac:dyDescent="0.4">
      <c r="B55" s="3" t="s">
        <v>47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185013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94862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34291</v>
      </c>
      <c r="D70" s="60">
        <v>0.05</v>
      </c>
      <c r="E70" s="112"/>
    </row>
    <row r="71" spans="2:5" ht="13.9" x14ac:dyDescent="0.4">
      <c r="B71" s="3" t="s">
        <v>75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79740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33448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554255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62222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83483</v>
      </c>
    </row>
    <row r="83" spans="2:8" ht="14.25" thickTop="1" x14ac:dyDescent="0.4">
      <c r="B83" s="73" t="s">
        <v>223</v>
      </c>
      <c r="C83" s="59">
        <v>1379544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106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251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260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250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110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174</v>
      </c>
      <c r="C97" s="77">
        <f>MAX(C30,0)</f>
        <v>169</v>
      </c>
      <c r="D97" s="160">
        <f>C97/C91</f>
        <v>1.6744128904032363E-4</v>
      </c>
      <c r="E97" s="254"/>
      <c r="F97" s="253">
        <f>F91*D97</f>
        <v>169</v>
      </c>
    </row>
    <row r="98" spans="2:7" ht="13.9" x14ac:dyDescent="0.4">
      <c r="B98" s="86" t="s">
        <v>210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9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0941.HK</v>
      </c>
      <c r="D3" s="275"/>
      <c r="E3" s="87"/>
      <c r="F3" s="3" t="s">
        <v>1</v>
      </c>
      <c r="G3" s="132">
        <v>70.449996948242202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中国移动</v>
      </c>
      <c r="D4" s="277"/>
      <c r="E4" s="87"/>
      <c r="F4" s="3" t="s">
        <v>3</v>
      </c>
      <c r="G4" s="280">
        <f>Inputs!C10</f>
        <v>21481669957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45603</v>
      </c>
      <c r="D5" s="279"/>
      <c r="E5" s="34"/>
      <c r="F5" s="35" t="s">
        <v>100</v>
      </c>
      <c r="G5" s="272">
        <f>G3*G4/1000000</f>
        <v>1513383.5829137962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</v>
      </c>
      <c r="F20" s="87" t="s">
        <v>214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1.6744128904032363E-4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2.2215198715160572E-2</v>
      </c>
      <c r="F23" s="140" t="s">
        <v>191</v>
      </c>
      <c r="G23" s="178">
        <f>G3/(Data!C36*Data!C4/Common_Shares*Exchange_Rate)</f>
        <v>1.0220455695541033</v>
      </c>
    </row>
    <row r="24" spans="1:8" ht="15.75" customHeight="1" x14ac:dyDescent="0.4">
      <c r="B24" s="137" t="s">
        <v>172</v>
      </c>
      <c r="C24" s="172">
        <f>Fin_Analysis!I81</f>
        <v>3.6955976811858409E-3</v>
      </c>
      <c r="F24" s="140" t="s">
        <v>177</v>
      </c>
      <c r="G24" s="179">
        <f>(Fin_Analysis!H86*G7)/G3</f>
        <v>4.3564758296810106E-2</v>
      </c>
    </row>
    <row r="25" spans="1:8" ht="15.75" customHeight="1" x14ac:dyDescent="0.4">
      <c r="B25" s="137" t="s">
        <v>248</v>
      </c>
      <c r="C25" s="172">
        <f>Fin_Analysis!I82</f>
        <v>2.5630406545468234E-2</v>
      </c>
      <c r="F25" s="140" t="s">
        <v>176</v>
      </c>
      <c r="G25" s="172">
        <f>Fin_Analysis!I88</f>
        <v>1.5855792226891281</v>
      </c>
    </row>
    <row r="26" spans="1:8" ht="15.75" customHeight="1" x14ac:dyDescent="0.4">
      <c r="B26" s="138" t="s">
        <v>175</v>
      </c>
      <c r="C26" s="172">
        <f>Fin_Analysis!I83</f>
        <v>8.1398263564478268E-2</v>
      </c>
      <c r="F26" s="141" t="s">
        <v>196</v>
      </c>
      <c r="G26" s="179">
        <f>Fin_Analysis!H88*Exchange_Rate/G3</f>
        <v>6.9075375596895902E-2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39.888076419993325</v>
      </c>
      <c r="D29" s="129">
        <f>G29*(1+G20)</f>
        <v>76.672086646797496</v>
      </c>
      <c r="E29" s="87"/>
      <c r="F29" s="131">
        <f>IF(Fin_Analysis!C108="Profit",Fin_Analysis!F100,IF(Fin_Analysis!C108="Dividend",Fin_Analysis!F103,Fin_Analysis!F106))</f>
        <v>46.92714872940391</v>
      </c>
      <c r="G29" s="271">
        <f>IF(Fin_Analysis!C108="Profit",Fin_Analysis!I100,IF(Fin_Analysis!C108="Dividend",Fin_Analysis!I103,Fin_Analysis!I106))</f>
        <v>66.67137969286739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agree</v>
      </c>
    </row>
    <row r="34" spans="1:3" ht="15.75" customHeight="1" x14ac:dyDescent="0.4">
      <c r="A34"/>
      <c r="B34" s="19" t="s">
        <v>228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E21" sqref="E2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3" zoomScale="85" zoomScaleNormal="85" workbookViewId="0">
      <selection activeCell="C102" sqref="C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-25435.501884504029</v>
      </c>
      <c r="E6" s="56">
        <f>1-D6/D3</f>
        <v>1.0183799925314492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33448</v>
      </c>
      <c r="J12" s="87"/>
      <c r="K12" s="24"/>
    </row>
    <row r="13" spans="1:11" ht="13.9" x14ac:dyDescent="0.4">
      <c r="B13" s="3" t="s">
        <v>117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160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16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64</v>
      </c>
      <c r="I31" s="40">
        <f>Inputs!C79</f>
        <v>62222</v>
      </c>
      <c r="J31" s="87"/>
    </row>
    <row r="32" spans="2:10" ht="15" customHeight="1" x14ac:dyDescent="0.4">
      <c r="B32" s="3" t="s">
        <v>65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08">
        <f>Inputs!C82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1.0220455695541033</v>
      </c>
      <c r="E53" s="88">
        <f>IF(C53=0,0,MAX(C53,C53*Dashboard!G23))</f>
        <v>4420.3470883214968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95670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96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174</v>
      </c>
      <c r="C78" s="77">
        <f>MAX(Data!C12,0)</f>
        <v>225.33333333333334</v>
      </c>
      <c r="D78" s="160">
        <f>C78/$C$74</f>
        <v>2.2325505205376484E-4</v>
      </c>
      <c r="E78" s="181">
        <f>E74*F78</f>
        <v>169</v>
      </c>
      <c r="F78" s="161">
        <f>I78</f>
        <v>1.6744128904032363E-4</v>
      </c>
      <c r="H78" s="239">
        <f>Inputs!F97</f>
        <v>169</v>
      </c>
      <c r="I78" s="161">
        <f>H78/$H$74</f>
        <v>1.6744128904032363E-4</v>
      </c>
      <c r="K78" s="24"/>
    </row>
    <row r="79" spans="1:11" ht="15" customHeight="1" x14ac:dyDescent="0.4">
      <c r="B79" s="257" t="s">
        <v>237</v>
      </c>
      <c r="C79" s="258">
        <f>C76-C77-C78</f>
        <v>134120.66666666666</v>
      </c>
      <c r="D79" s="259">
        <f>C79/C74</f>
        <v>0.13288365274327946</v>
      </c>
      <c r="E79" s="260">
        <f>E76-E77-E78</f>
        <v>134177</v>
      </c>
      <c r="F79" s="259">
        <f>E79/E74</f>
        <v>0.13293946650629293</v>
      </c>
      <c r="G79" s="261"/>
      <c r="H79" s="260">
        <f>H76-H77-H78</f>
        <v>134177</v>
      </c>
      <c r="I79" s="259">
        <f>H79/H74</f>
        <v>0.13293946650629293</v>
      </c>
      <c r="K79" s="24"/>
    </row>
    <row r="80" spans="1:11" ht="15" customHeight="1" x14ac:dyDescent="0.4">
      <c r="B80" s="28" t="s">
        <v>110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250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126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82156</v>
      </c>
      <c r="F83" s="165">
        <f>E83/E74</f>
        <v>8.1398263564478268E-2</v>
      </c>
      <c r="H83" s="166">
        <f>H79-H81-H82-H80</f>
        <v>82156</v>
      </c>
      <c r="I83" s="165">
        <f>H83/$H$74</f>
        <v>8.1398263564478268E-2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61574.749999999993</v>
      </c>
      <c r="D85" s="259">
        <f>C85/$C$74</f>
        <v>6.1006837351098617E-2</v>
      </c>
      <c r="E85" s="265">
        <f>E83*(1-F84)</f>
        <v>61617</v>
      </c>
      <c r="F85" s="259">
        <f>E85/E74</f>
        <v>6.1048697673358701E-2</v>
      </c>
      <c r="G85" s="261"/>
      <c r="H85" s="265">
        <f>H83*(1-I84)</f>
        <v>61617</v>
      </c>
      <c r="I85" s="259">
        <f>H85/$H$74</f>
        <v>6.1048697673358701E-2</v>
      </c>
      <c r="K85" s="24"/>
    </row>
    <row r="86" spans="1:11" ht="15" customHeight="1" x14ac:dyDescent="0.4">
      <c r="B86" s="87" t="s">
        <v>162</v>
      </c>
      <c r="C86" s="168">
        <f>C85*Data!C4/Common_Shares</f>
        <v>2.8663856265948864</v>
      </c>
      <c r="D86" s="210"/>
      <c r="E86" s="169">
        <f>E85*Data!C4/Common_Shares</f>
        <v>2.8683524196833465</v>
      </c>
      <c r="F86" s="210"/>
      <c r="H86" s="169">
        <f>H85*Data!C4/Common_Shares</f>
        <v>2.8683524196833465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4.3534886491333684E-2</v>
      </c>
      <c r="D87" s="210"/>
      <c r="E87" s="263">
        <f>E86*Exchange_Rate/Dashboard!G3</f>
        <v>4.3564758296810106E-2</v>
      </c>
      <c r="F87" s="210"/>
      <c r="H87" s="263">
        <f>H86*Exchange_Rate/Dashboard!G3</f>
        <v>4.3564758296810106E-2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1.5855792226891281</v>
      </c>
      <c r="H88" s="171">
        <f>Inputs!F98</f>
        <v>4.548</v>
      </c>
      <c r="I88" s="167">
        <f>H88/H86</f>
        <v>1.5855792226891281</v>
      </c>
      <c r="K88" s="24"/>
    </row>
    <row r="89" spans="1:11" ht="15" customHeight="1" x14ac:dyDescent="0.4">
      <c r="B89" s="87" t="s">
        <v>224</v>
      </c>
      <c r="C89" s="262">
        <f>C88*Exchange_Rate/Dashboard!G3</f>
        <v>6.9075375596895902E-2</v>
      </c>
      <c r="D89" s="210"/>
      <c r="E89" s="262">
        <f>E88*Exchange_Rate/Dashboard!G3</f>
        <v>6.9075375596895902E-2</v>
      </c>
      <c r="F89" s="210"/>
      <c r="H89" s="262">
        <f>H88*Exchange_Rate/Dashboard!G3</f>
        <v>6.9075375596895902E-2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49.305689341522289</v>
      </c>
      <c r="H93" s="87" t="s">
        <v>212</v>
      </c>
      <c r="I93" s="144">
        <f>FV(H87,D93,0,-(H86/C93))</f>
        <v>49.305689341522289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88.212390547446745</v>
      </c>
      <c r="H94" s="87" t="s">
        <v>213</v>
      </c>
      <c r="I94" s="144">
        <f>FV(H89,D93,0,-(H88/C93))</f>
        <v>88.212390547446745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563455.53671955224</v>
      </c>
      <c r="D97" s="214"/>
      <c r="E97" s="123">
        <f>PV(C94,D93,0,-F93)*Exchange_Rate</f>
        <v>26.229596574541223</v>
      </c>
      <c r="F97" s="214"/>
      <c r="H97" s="123">
        <f>PV(C94,D93,0,-I93)*Exchange_Rate</f>
        <v>26.229596574541223</v>
      </c>
      <c r="I97" s="123">
        <f>PV(C93,D93,0,-I93)*Exchange_Rate</f>
        <v>37.265494277009431</v>
      </c>
      <c r="K97" s="24"/>
    </row>
    <row r="98" spans="2:11" ht="15" customHeight="1" x14ac:dyDescent="0.4">
      <c r="B98" s="28" t="s">
        <v>145</v>
      </c>
      <c r="C98" s="91">
        <f>E53*Exchange_Rate</f>
        <v>4729.7713845040016</v>
      </c>
      <c r="D98" s="214"/>
      <c r="E98" s="214"/>
      <c r="F98" s="214"/>
      <c r="H98" s="123">
        <f>C98*Data!$C$4/Common_Shares</f>
        <v>0.22017708092395127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558725.7653350482</v>
      </c>
      <c r="D100" s="109">
        <f>MIN(F100*(1-C94),E100)</f>
        <v>22.10800656957468</v>
      </c>
      <c r="E100" s="109">
        <f>MAX(E97-H98+E99,0)</f>
        <v>26.009419493617273</v>
      </c>
      <c r="F100" s="109">
        <f>(E100+H100)/2</f>
        <v>26.009419493617273</v>
      </c>
      <c r="H100" s="109">
        <f>MAX(C100*Data!$C$4/Common_Shares,0)</f>
        <v>26.009419493617269</v>
      </c>
      <c r="I100" s="109">
        <f>MAX(I97-H98+H99,0)</f>
        <v>37.045317196085477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1008073.5210281067</v>
      </c>
      <c r="D103" s="109">
        <f>MIN(F103*(1-C94),E103)</f>
        <v>39.888076419993325</v>
      </c>
      <c r="E103" s="123">
        <f>PV(C94,D93,0,-F94)*Exchange_Rate</f>
        <v>46.92714872940391</v>
      </c>
      <c r="F103" s="109">
        <f>(E103+H103)/2</f>
        <v>46.92714872940391</v>
      </c>
      <c r="H103" s="123">
        <f>PV(C94,D93,0,-I94)*Exchange_Rate</f>
        <v>46.92714872940391</v>
      </c>
      <c r="I103" s="109">
        <f>PV(C93,D93,0,-I94)*Exchange_Rate</f>
        <v>66.67137969286739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783399.64318157756</v>
      </c>
      <c r="D106" s="109">
        <f>(D100+D103)/2</f>
        <v>30.998041494784005</v>
      </c>
      <c r="E106" s="123">
        <f>(E100+E103)/2</f>
        <v>36.468284111510592</v>
      </c>
      <c r="F106" s="109">
        <f>(F100+F103)/2</f>
        <v>36.468284111510592</v>
      </c>
      <c r="H106" s="123">
        <f>(H100+H103)/2</f>
        <v>36.468284111510592</v>
      </c>
      <c r="I106" s="123">
        <f>(I100+I103)/2</f>
        <v>51.858348444476434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