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4BB380BA-FAED-4B7A-89E7-E1E8E8A6DED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C94" i="4" l="1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7" i="4"/>
  <c r="C93" i="4"/>
  <c r="C92" i="4"/>
  <c r="C91" i="4"/>
  <c r="E91" i="4" s="1"/>
  <c r="F91" i="4" l="1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H77" i="3" s="1"/>
  <c r="F92" i="4"/>
  <c r="H75" i="3" s="1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<sst xmlns="http://schemas.openxmlformats.org/spreadsheetml/2006/main" count="391" uniqueCount="269">
  <si>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</si>
  <si>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</si>
  <si>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</si>
  <si>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</si>
  <si>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</si>
  <si>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</si>
  <si>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</si>
  <si>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</si>
  <si>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</si>
  <si>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</si>
  <si>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</si>
  <si>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</si>
  <si>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</si>
  <si>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</si>
  <si>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</si>
  <si>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</si>
  <si>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</si>
  <si>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</si>
  <si>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</si>
  <si>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</si>
  <si>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</si>
  <si>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</si>
  <si>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</si>
  <si>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</si>
  <si>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</si>
  <si>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</si>
  <si>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</si>
  <si>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</si>
  <si>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</si>
  <si>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</si>
  <si>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</si>
  <si>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</si>
  <si>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</si>
  <si>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</si>
  <si>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</si>
  <si>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</si>
  <si>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</si>
  <si>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</si>
  <si>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</si>
  <si>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</si>
  <si>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</si>
  <si>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</si>
  <si>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</si>
  <si>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</si>
  <si>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</si>
  <si>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</si>
  <si>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</si>
  <si>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</si>
  <si>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</si>
  <si>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</si>
  <si>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</si>
  <si>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</si>
  <si>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</si>
  <si>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</si>
  <si>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</si>
  <si>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</si>
  <si>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</si>
  <si>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</si>
  <si>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</si>
  <si>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</si>
  <si>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</si>
  <si>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</si>
  <si>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</si>
  <si>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</si>
  <si>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</si>
  <si>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</si>
  <si>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</si>
  <si>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</si>
  <si>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</si>
  <si>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</si>
  <si>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</si>
  <si>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</si>
  <si>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</si>
  <si>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</si>
  <si>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</si>
  <si>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</si>
  <si>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</si>
  <si>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</si>
  <si>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</si>
  <si>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</si>
  <si>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</si>
  <si>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</si>
  <si>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</si>
  <si>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</si>
  <si>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</si>
  <si>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</si>
  <si>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</si>
  <si>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</si>
  <si>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</si>
  <si>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</si>
  <si>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</si>
  <si>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</si>
  <si>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</si>
  <si>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</si>
  <si>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</si>
  <si>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</si>
  <si>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</si>
  <si>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</si>
  <si>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</si>
  <si>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</si>
  <si>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</si>
  <si>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</si>
  <si>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</si>
  <si>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</si>
  <si>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</si>
  <si>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</si>
  <si>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</si>
  <si>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</si>
  <si>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</si>
  <si>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</si>
  <si>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</si>
  <si>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</si>
  <si>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</si>
  <si>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</si>
  <si>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</si>
  <si>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</si>
  <si>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</si>
  <si>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</si>
  <si>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</si>
  <si>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</si>
  <si>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</si>
  <si>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</si>
  <si>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</si>
  <si>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</si>
  <si>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</si>
  <si>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</si>
  <si>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</si>
  <si>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</si>
  <si>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</si>
  <si>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</si>
  <si>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</si>
  <si>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</si>
  <si>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</si>
  <si>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</si>
  <si>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</si>
  <si>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</si>
  <si>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</si>
  <si>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</si>
  <si>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</si>
  <si>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</si>
  <si>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</si>
  <si>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</si>
  <si>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</si>
  <si>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</si>
  <si>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</si>
  <si>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</si>
  <si>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</si>
  <si>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</si>
  <si>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</si>
  <si>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</si>
  <si>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</si>
  <si>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</si>
  <si>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</si>
  <si>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</si>
  <si>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</si>
  <si>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</si>
  <si>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</si>
  <si>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</si>
  <si>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</si>
  <si>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</si>
  <si>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</si>
  <si>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</si>
  <si>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</si>
  <si>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</si>
  <si>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</si>
  <si>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</si>
  <si>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</si>
  <si>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</si>
  <si>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</si>
  <si>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</si>
  <si>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</si>
  <si>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</si>
  <si>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</si>
  <si>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</si>
  <si>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</si>
  <si>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</si>
  <si>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</si>
  <si>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</si>
  <si>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</si>
  <si>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</si>
  <si>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</si>
  <si>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</si>
  <si>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</si>
  <si>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</si>
  <si>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</si>
  <si>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</si>
  <si>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</si>
  <si>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</si>
  <si>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</si>
  <si>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</si>
  <si>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</si>
  <si>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</si>
  <si>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</si>
  <si>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</si>
  <si>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</si>
  <si>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</si>
  <si>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</si>
  <si>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</si>
  <si>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</si>
  <si>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</si>
  <si>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</si>
  <si>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</si>
  <si>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</si>
  <si>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</si>
  <si>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</si>
  <si>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</si>
  <si>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</si>
  <si>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</si>
  <si>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</si>
  <si>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</si>
  <si>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</si>
  <si>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</si>
  <si>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</si>
  <si>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</si>
  <si>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</si>
  <si>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</si>
  <si>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</si>
  <si>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</si>
  <si>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</si>
  <si>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</si>
  <si>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</si>
  <si>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</si>
  <si>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</si>
  <si>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</si>
  <si>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</si>
  <si>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</si>
  <si>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</si>
  <si>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</si>
  <si>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</si>
  <si>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</si>
  <si>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</si>
  <si>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</si>
  <si>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</si>
  <si>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</si>
  <si>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</si>
  <si>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</si>
  <si>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</si>
  <si>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</si>
  <si>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</si>
  <si>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</si>
  <si>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</si>
  <si>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</si>
  <si>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</si>
  <si>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</si>
  <si>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</si>
  <si>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</si>
  <si>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</si>
  <si>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</si>
  <si>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</si>
  <si>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</si>
  <si>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</si>
  <si>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</si>
  <si>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</si>
  <si>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</si>
  <si>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</si>
  <si>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</si>
  <si>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</si>
  <si>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</si>
  <si>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</si>
  <si>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</si>
  <si>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</si>
  <si>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</si>
  <si>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</si>
  <si>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0998.HK</t>
  </si>
  <si>
    <t>中信银行</t>
  </si>
  <si>
    <t>C0014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</si>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</sst>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0.18760554961924605</c:v>
                </c:pt>
                <c:pt idx="1">
                  <c:v>0.19513886735214594</c:v>
                </c:pt>
                <c:pt idx="2">
                  <c:v>2.9490457891516841E-3</c:v>
                </c:pt>
                <c:pt idx="3">
                  <c:v>0</c:v>
                </c:pt>
                <c:pt idx="4">
                  <c:v>0.49099920776112166</c:v>
                </c:pt>
                <c:pt idx="5">
                  <c:v>0</c:v>
                </c:pt>
                <c:pt idx="6">
                  <c:v>0.12330732947833466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85" sqref="D85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217</v>
      </c>
    </row>
    <row r="4" spans="1:4" ht="13.9" x14ac:dyDescent="0.4">
      <c r="B4" s="141" t="s">
        <v>197</v>
      </c>
      <c r="C4" s="189" t="s">
        <v>263</v>
      </c>
    </row>
    <row r="5" spans="1:4" ht="13.9" x14ac:dyDescent="0.4">
      <c r="B5" s="141" t="s">
        <v>198</v>
      </c>
      <c r="C5" s="192" t="s">
        <v>264</v>
      </c>
    </row>
    <row r="6" spans="1:4" ht="13.9" x14ac:dyDescent="0.4">
      <c r="B6" s="141" t="s">
        <v>165</v>
      </c>
      <c r="C6" s="190">
        <v>45606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218</v>
      </c>
      <c r="C8" s="192" t="s">
        <v>46</v>
      </c>
    </row>
    <row r="9" spans="1:4" ht="13.9" x14ac:dyDescent="0.4">
      <c r="B9" s="140" t="s">
        <v>219</v>
      </c>
      <c r="C9" s="193" t="s">
        <v>265</v>
      </c>
    </row>
    <row r="10" spans="1:4" ht="13.9" x14ac:dyDescent="0.4">
      <c r="B10" s="140" t="s">
        <v>220</v>
      </c>
      <c r="C10" s="194">
        <v>53487810534</v>
      </c>
    </row>
    <row r="11" spans="1:4" ht="13.9" x14ac:dyDescent="0.4">
      <c r="B11" s="140" t="s">
        <v>221</v>
      </c>
      <c r="C11" s="193" t="s">
        <v>266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222</v>
      </c>
      <c r="C14" s="220">
        <v>45473</v>
      </c>
    </row>
    <row r="15" spans="1:4" ht="13.9" x14ac:dyDescent="0.4">
      <c r="B15" s="219" t="s">
        <v>260</v>
      </c>
      <c r="C15" s="177" t="s">
        <v>267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227</v>
      </c>
      <c r="C17" s="243" t="s">
        <v>236</v>
      </c>
      <c r="D17" s="24"/>
    </row>
    <row r="18" spans="2:13" ht="13.9" x14ac:dyDescent="0.4">
      <c r="B18" s="241" t="s">
        <v>244</v>
      </c>
      <c r="C18" s="243" t="s">
        <v>236</v>
      </c>
      <c r="D18" s="24"/>
    </row>
    <row r="19" spans="2:13" ht="13.9" x14ac:dyDescent="0.4">
      <c r="B19" s="241" t="s">
        <v>245</v>
      </c>
      <c r="C19" s="243" t="s">
        <v>236</v>
      </c>
      <c r="D19" s="24"/>
    </row>
    <row r="20" spans="2:13" ht="13.9" x14ac:dyDescent="0.4">
      <c r="B20" s="242" t="s">
        <v>231</v>
      </c>
      <c r="C20" s="243" t="s">
        <v>236</v>
      </c>
      <c r="D20" s="24"/>
    </row>
    <row r="21" spans="2:13" ht="13.9" x14ac:dyDescent="0.4">
      <c r="B21" s="225" t="s">
        <v>237</v>
      </c>
      <c r="C21" s="243" t="s">
        <v>235</v>
      </c>
      <c r="D21" s="24"/>
    </row>
    <row r="22" spans="2:13" ht="78.75" x14ac:dyDescent="0.4">
      <c r="B22" s="227" t="s">
        <v>233</v>
      </c>
      <c r="C22" s="244" t="s">
        <v>234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354691</v>
      </c>
      <c r="D25" s="150">
        <v>354660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66542</v>
      </c>
      <c r="D26" s="151">
        <v>75318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69214</v>
      </c>
      <c r="D27" s="151">
        <v>66838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261</v>
      </c>
      <c r="C29" s="151">
        <v>174153</v>
      </c>
      <c r="D29" s="151">
        <v>162962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1046</v>
      </c>
      <c r="D30" s="151">
        <v>847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210</v>
      </c>
      <c r="C44" s="251">
        <f>0.3261+0.1847</f>
        <v>0.51080000000000003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257</v>
      </c>
      <c r="C45" s="153">
        <f>IF(C44="","",C44*Exchange_Rate/Dashboard!$G$3)</f>
        <v>0.11019274108800017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254</v>
      </c>
      <c r="C47" s="195" t="s">
        <v>34</v>
      </c>
      <c r="D47" s="195" t="s">
        <v>199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160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161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223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255</v>
      </c>
      <c r="C86" s="198">
        <v>5</v>
      </c>
    </row>
    <row r="87" spans="2:8" ht="13.9" x14ac:dyDescent="0.4">
      <c r="B87" s="10" t="s">
        <v>253</v>
      </c>
      <c r="C87" s="237" t="s">
        <v>268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209</v>
      </c>
      <c r="F89" s="50" t="s">
        <v>208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354691</v>
      </c>
      <c r="D91" s="210"/>
      <c r="E91" s="252">
        <f>C91</f>
        <v>354691</v>
      </c>
      <c r="F91" s="252">
        <f>C91</f>
        <v>354691</v>
      </c>
    </row>
    <row r="92" spans="2:8" ht="13.9" x14ac:dyDescent="0.4">
      <c r="B92" s="104" t="s">
        <v>106</v>
      </c>
      <c r="C92" s="77">
        <f>C26</f>
        <v>66542</v>
      </c>
      <c r="D92" s="160">
        <f>C92/C91</f>
        <v>0.18760554961924605</v>
      </c>
      <c r="E92" s="253">
        <f>E91*D92</f>
        <v>66542</v>
      </c>
      <c r="F92" s="253">
        <f>F91*D92</f>
        <v>66542</v>
      </c>
    </row>
    <row r="93" spans="2:8" ht="13.9" x14ac:dyDescent="0.4">
      <c r="B93" s="104" t="s">
        <v>252</v>
      </c>
      <c r="C93" s="77">
        <f>C27+C28</f>
        <v>69214</v>
      </c>
      <c r="D93" s="160">
        <f>C93/C91</f>
        <v>0.19513886735214594</v>
      </c>
      <c r="E93" s="253">
        <f>E91*D93</f>
        <v>69214</v>
      </c>
      <c r="F93" s="253">
        <f>F91*D93</f>
        <v>69214</v>
      </c>
    </row>
    <row r="94" spans="2:8" ht="13.9" x14ac:dyDescent="0.4">
      <c r="B94" s="104" t="s">
        <v>261</v>
      </c>
      <c r="C94" s="77">
        <f>C29</f>
        <v>174153</v>
      </c>
      <c r="D94" s="160">
        <f>C94/C91</f>
        <v>0.49099920776112166</v>
      </c>
      <c r="E94" s="254"/>
      <c r="F94" s="253">
        <f>F91*D94</f>
        <v>174153</v>
      </c>
    </row>
    <row r="95" spans="2:8" ht="13.9" x14ac:dyDescent="0.4">
      <c r="B95" s="28" t="s">
        <v>251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174</v>
      </c>
      <c r="C97" s="77">
        <f>MAX(C30,0)</f>
        <v>1046</v>
      </c>
      <c r="D97" s="160">
        <f>C97/C91</f>
        <v>2.9490457891516841E-3</v>
      </c>
      <c r="E97" s="254"/>
      <c r="F97" s="253">
        <f>F91*D97</f>
        <v>1046</v>
      </c>
    </row>
    <row r="98" spans="2:7" ht="13.9" x14ac:dyDescent="0.4">
      <c r="B98" s="86" t="s">
        <v>210</v>
      </c>
      <c r="C98" s="238">
        <f>C44</f>
        <v>0.51080000000000003</v>
      </c>
      <c r="D98" s="267"/>
      <c r="E98" s="255">
        <f>F98</f>
        <v>0.3261</v>
      </c>
      <c r="F98" s="255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G8" sqref="G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197</v>
      </c>
      <c r="C3" s="274" t="str">
        <f>Inputs!C4</f>
        <v>0998.HK</v>
      </c>
      <c r="D3" s="275"/>
      <c r="E3" s="87"/>
      <c r="F3" s="3" t="s">
        <v>1</v>
      </c>
      <c r="G3" s="132">
        <v>4.96000003814697</v>
      </c>
      <c r="H3" s="134" t="s">
        <v>2</v>
      </c>
    </row>
    <row r="4" spans="1:10" ht="15.75" customHeight="1" x14ac:dyDescent="0.4">
      <c r="B4" s="35" t="s">
        <v>198</v>
      </c>
      <c r="C4" s="276" t="str">
        <f>Inputs!C5</f>
        <v>中信银行</v>
      </c>
      <c r="D4" s="277"/>
      <c r="E4" s="87"/>
      <c r="F4" s="3" t="s">
        <v>3</v>
      </c>
      <c r="G4" s="280">
        <f>Inputs!C10</f>
        <v>53487810534</v>
      </c>
      <c r="H4" s="280"/>
      <c r="I4" s="39"/>
    </row>
    <row r="5" spans="1:10" ht="15.75" customHeight="1" x14ac:dyDescent="0.4">
      <c r="B5" s="3" t="s">
        <v>165</v>
      </c>
      <c r="C5" s="278">
        <f>Inputs!C6</f>
        <v>45606</v>
      </c>
      <c r="D5" s="279"/>
      <c r="E5" s="34"/>
      <c r="F5" s="35" t="s">
        <v>100</v>
      </c>
      <c r="G5" s="272">
        <f>G3*G4/1000000</f>
        <v>265299.5422890379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195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193</v>
      </c>
      <c r="F9" s="143" t="s">
        <v>188</v>
      </c>
    </row>
    <row r="10" spans="1:10" ht="15.75" customHeight="1" x14ac:dyDescent="0.4">
      <c r="B10" s="1" t="s">
        <v>178</v>
      </c>
      <c r="C10" s="173">
        <v>4.2099999999999999E-2</v>
      </c>
      <c r="F10" s="110" t="s">
        <v>185</v>
      </c>
    </row>
    <row r="11" spans="1:10" ht="15.75" customHeight="1" thickBot="1" x14ac:dyDescent="0.45">
      <c r="B11" s="122" t="s">
        <v>182</v>
      </c>
      <c r="C11" s="174">
        <v>5.3099999999999994E-2</v>
      </c>
      <c r="D11" s="137" t="s">
        <v>192</v>
      </c>
      <c r="F11" s="110" t="s">
        <v>180</v>
      </c>
    </row>
    <row r="12" spans="1:10" ht="15.75" customHeight="1" thickTop="1" x14ac:dyDescent="0.4">
      <c r="B12" s="87" t="s">
        <v>258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179</v>
      </c>
      <c r="C14" s="173">
        <v>2.1309999999999999E-2</v>
      </c>
      <c r="F14" s="110" t="s">
        <v>184</v>
      </c>
    </row>
    <row r="15" spans="1:10" ht="15.75" customHeight="1" x14ac:dyDescent="0.4">
      <c r="B15" s="1" t="s">
        <v>189</v>
      </c>
      <c r="C15" s="173">
        <v>6.5000000000000002E-2</v>
      </c>
      <c r="F15" s="110" t="s">
        <v>183</v>
      </c>
    </row>
    <row r="16" spans="1:10" ht="15.75" customHeight="1" thickBot="1" x14ac:dyDescent="0.45">
      <c r="B16" s="122" t="s">
        <v>190</v>
      </c>
      <c r="C16" s="174">
        <v>0.16</v>
      </c>
      <c r="D16" s="266" t="str">
        <f>Inputs!C15</f>
        <v>CN</v>
      </c>
      <c r="F16" s="110" t="s">
        <v>181</v>
      </c>
    </row>
    <row r="17" spans="1:8" ht="15.75" customHeight="1" thickTop="1" x14ac:dyDescent="0.4">
      <c r="B17" s="87" t="s">
        <v>259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186</v>
      </c>
      <c r="C19" s="135" t="s">
        <v>52</v>
      </c>
      <c r="D19" s="87"/>
      <c r="E19" s="87"/>
      <c r="F19" s="142" t="s">
        <v>215</v>
      </c>
      <c r="G19" s="87"/>
      <c r="H19" s="87"/>
    </row>
    <row r="20" spans="1:8" ht="15.75" customHeight="1" x14ac:dyDescent="0.4">
      <c r="B20" s="137" t="s">
        <v>171</v>
      </c>
      <c r="C20" s="172">
        <f>Fin_Analysis!I75</f>
        <v>0.18760554961924605</v>
      </c>
      <c r="F20" s="87" t="s">
        <v>214</v>
      </c>
      <c r="G20" s="173">
        <v>0.15</v>
      </c>
    </row>
    <row r="21" spans="1:8" ht="15.75" customHeight="1" x14ac:dyDescent="0.4">
      <c r="B21" s="137" t="s">
        <v>250</v>
      </c>
      <c r="C21" s="172">
        <f>Fin_Analysis!I77</f>
        <v>0.19513886735214594</v>
      </c>
      <c r="F21" s="87"/>
      <c r="G21" s="29"/>
    </row>
    <row r="22" spans="1:8" ht="15.75" customHeight="1" x14ac:dyDescent="0.4">
      <c r="B22" s="137" t="s">
        <v>194</v>
      </c>
      <c r="C22" s="172">
        <f>Fin_Analysis!I78</f>
        <v>2.9490457891516841E-3</v>
      </c>
      <c r="F22" s="142" t="s">
        <v>187</v>
      </c>
    </row>
    <row r="23" spans="1:8" ht="15.75" customHeight="1" x14ac:dyDescent="0.4">
      <c r="B23" s="137" t="s">
        <v>173</v>
      </c>
      <c r="C23" s="172">
        <f>Fin_Analysis!I80</f>
        <v>0</v>
      </c>
      <c r="F23" s="140" t="s">
        <v>191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172</v>
      </c>
      <c r="C24" s="172">
        <f>Fin_Analysis!I81</f>
        <v>0.49099920776112166</v>
      </c>
      <c r="F24" s="140" t="s">
        <v>177</v>
      </c>
      <c r="G24" s="179">
        <f>(Fin_Analysis!H86*G7)/G3</f>
        <v>0.13229627046156514</v>
      </c>
    </row>
    <row r="25" spans="1:8" ht="15.75" customHeight="1" x14ac:dyDescent="0.4">
      <c r="B25" s="137" t="s">
        <v>249</v>
      </c>
      <c r="C25" s="172">
        <f>Fin_Analysis!I82</f>
        <v>0</v>
      </c>
      <c r="F25" s="140" t="s">
        <v>176</v>
      </c>
      <c r="G25" s="172">
        <f>Fin_Analysis!I88</f>
        <v>0.53174730245525881</v>
      </c>
    </row>
    <row r="26" spans="1:8" ht="15.75" customHeight="1" x14ac:dyDescent="0.4">
      <c r="B26" s="138" t="s">
        <v>175</v>
      </c>
      <c r="C26" s="172">
        <f>Fin_Analysis!I83</f>
        <v>0.12330732947833466</v>
      </c>
      <c r="F26" s="141" t="s">
        <v>196</v>
      </c>
      <c r="G26" s="179">
        <f>Fin_Analysis!H88*Exchange_Rate/G3</f>
        <v>7.0348184942828615E-2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168</v>
      </c>
      <c r="D28" s="43" t="s">
        <v>169</v>
      </c>
      <c r="E28" s="58"/>
      <c r="F28" s="53" t="s">
        <v>243</v>
      </c>
      <c r="G28" s="270" t="s">
        <v>262</v>
      </c>
      <c r="H28" s="270"/>
    </row>
    <row r="29" spans="1:8" ht="15.75" customHeight="1" x14ac:dyDescent="0.4">
      <c r="B29" s="87" t="s">
        <v>170</v>
      </c>
      <c r="C29" s="130">
        <f>IF(Fin_Analysis!C108="Profit",Fin_Analysis!D100,IF(Fin_Analysis!C108="Dividend",Fin_Analysis!D103,Fin_Analysis!D106))</f>
        <v>2.8771147843942466</v>
      </c>
      <c r="D29" s="129">
        <f>G29*(1+G20)</f>
        <v>5.5303342211630948</v>
      </c>
      <c r="E29" s="87"/>
      <c r="F29" s="131">
        <f>IF(Fin_Analysis!C108="Profit",Fin_Analysis!F100,IF(Fin_Analysis!C108="Dividend",Fin_Analysis!F103,Fin_Analysis!F106))</f>
        <v>3.3848409228167609</v>
      </c>
      <c r="G29" s="271">
        <f>IF(Fin_Analysis!C108="Profit",Fin_Analysis!I100,IF(Fin_Analysis!C108="Dividend",Fin_Analysis!I103,Fin_Analysis!I106))</f>
        <v>4.8089862792722569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225</v>
      </c>
      <c r="C31"/>
    </row>
    <row r="32" spans="1:8" ht="15.75" customHeight="1" x14ac:dyDescent="0.4">
      <c r="A32"/>
      <c r="B32" s="197" t="s">
        <v>226</v>
      </c>
      <c r="C32" s="225"/>
    </row>
    <row r="33" spans="1:3" ht="15.75" customHeight="1" x14ac:dyDescent="0.4">
      <c r="A33"/>
      <c r="B33" s="20" t="s">
        <v>227</v>
      </c>
      <c r="C33" s="246" t="str">
        <f>Inputs!C17</f>
        <v>agree</v>
      </c>
    </row>
    <row r="34" spans="1:3" ht="15.75" customHeight="1" x14ac:dyDescent="0.4">
      <c r="A34"/>
      <c r="B34" s="19" t="s">
        <v>228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229</v>
      </c>
      <c r="C35" s="225"/>
    </row>
    <row r="36" spans="1:3" ht="15.75" customHeight="1" x14ac:dyDescent="0.4">
      <c r="A36"/>
      <c r="B36" s="20" t="s">
        <v>244</v>
      </c>
      <c r="C36" s="246" t="str">
        <f>Inputs!C18</f>
        <v>agree</v>
      </c>
    </row>
    <row r="37" spans="1:3" ht="15.75" customHeight="1" x14ac:dyDescent="0.4">
      <c r="A37"/>
      <c r="B37" s="20" t="s">
        <v>245</v>
      </c>
      <c r="C37" s="246" t="str">
        <f>Inputs!C19</f>
        <v>agree</v>
      </c>
    </row>
    <row r="38" spans="1:3" ht="15.75" customHeight="1" x14ac:dyDescent="0.4">
      <c r="A38"/>
      <c r="B38" s="197" t="s">
        <v>230</v>
      </c>
      <c r="C38" s="225"/>
    </row>
    <row r="39" spans="1:3" ht="15.75" customHeight="1" x14ac:dyDescent="0.4">
      <c r="A39"/>
      <c r="B39" s="19" t="s">
        <v>231</v>
      </c>
      <c r="C39" s="246" t="str">
        <f>Inputs!C20</f>
        <v>agree</v>
      </c>
    </row>
    <row r="40" spans="1:3" ht="15.75" customHeight="1" x14ac:dyDescent="0.4">
      <c r="A40"/>
      <c r="B40" s="1" t="s">
        <v>237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232</v>
      </c>
      <c r="C42"/>
    </row>
    <row r="43" spans="1:3" ht="65.650000000000006" x14ac:dyDescent="0.4">
      <c r="A43"/>
      <c r="B43" s="227" t="s">
        <v>233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202</v>
      </c>
      <c r="F2" s="119" t="s">
        <v>205</v>
      </c>
      <c r="G2" s="149" t="s">
        <v>206</v>
      </c>
      <c r="H2" s="148" t="s">
        <v>207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203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204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354691</v>
      </c>
      <c r="D6" s="201">
        <f>IF(Inputs!D25="","",Inputs!D25)</f>
        <v>354660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66542</v>
      </c>
      <c r="D8" s="200">
        <f>IF(Inputs!D26="","",Inputs!D26)</f>
        <v>75318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288149</v>
      </c>
      <c r="D9" s="152">
        <f t="shared" si="2"/>
        <v>279342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69214</v>
      </c>
      <c r="D10" s="200">
        <f>IF(Inputs!D27="","",Inputs!D27)</f>
        <v>66838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246</v>
      </c>
      <c r="C12" s="200">
        <f>IF(Inputs!C30="","",MAX(Inputs!C30,0)/(1-Fin_Analysis!$I$84))</f>
        <v>1394.6666666666667</v>
      </c>
      <c r="D12" s="200">
        <f>IF(Inputs!D30="","",MAX(Inputs!D30,0)/(1-Fin_Analysis!$I$84))</f>
        <v>1129.3333333333333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247</v>
      </c>
      <c r="C13" s="230">
        <f t="shared" ref="C13:M13" si="3">IF(C14="","",C14/C6)</f>
        <v>0.61332352197640583</v>
      </c>
      <c r="D13" s="230">
        <f t="shared" si="3"/>
        <v>0.59599240587229085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239</v>
      </c>
      <c r="C14" s="231">
        <f>IF(C6="","",C9-C10-MAX(C11,0)-MAX(C12,0))</f>
        <v>217540.33333333334</v>
      </c>
      <c r="D14" s="231">
        <f t="shared" ref="D14:M14" si="4">IF(D6="","",D9-D10-MAX(D11,0)-MAX(D12,0))</f>
        <v>211374.66666666666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248</v>
      </c>
      <c r="C15" s="233">
        <f>IF(D14="","",IF(ABS(C14+D14)=ABS(C14)+ABS(D14),IF(C14&lt;0,-1,1)*(C14-D14)/D14,"Turn"))</f>
        <v>2.9169373813323671E-2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200">
        <f>IF(Inputs!C29="","",Inputs!C29)</f>
        <v>174153</v>
      </c>
      <c r="D17" s="200">
        <f>IF(Inputs!D29="","",Inputs!D29)</f>
        <v>162962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241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43387.333333333343</v>
      </c>
      <c r="D22" s="162">
        <f t="shared" ref="D22:M22" si="8">IF(D6="","",D14-MAX(D16,0)-MAX(D17,0)-ABS(MAX(D21,0)-MAX(D19,0)))</f>
        <v>48412.666666666657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9.1743235661463099E-2</v>
      </c>
      <c r="D23" s="154">
        <f t="shared" si="9"/>
        <v>0.10237833417921388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-0.10380203528002276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159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0.18760554961924605</v>
      </c>
      <c r="D42" s="157">
        <f t="shared" si="34"/>
        <v>0.21236677381153782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240</v>
      </c>
      <c r="C43" s="154">
        <f t="shared" ref="C43:M43" si="35">IF(C6="","",(C10+MAX(C11,0))/C6)</f>
        <v>0.19513886735214594</v>
      </c>
      <c r="D43" s="154">
        <f t="shared" si="35"/>
        <v>0.18845654993514915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0.49099920776112166</v>
      </c>
      <c r="D45" s="154">
        <f t="shared" si="37"/>
        <v>0.45948796030000566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3.9320610522022457E-3</v>
      </c>
      <c r="D46" s="154">
        <f t="shared" ref="D46:M46" si="38">IF(D6="","",MAX(D12,0)/D6)</f>
        <v>3.1842703810221994E-3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242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0.12232431421528413</v>
      </c>
      <c r="D48" s="154">
        <f t="shared" si="40"/>
        <v>0.13650444557228517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4.0139134309552702</v>
      </c>
      <c r="D55" s="154">
        <f t="shared" si="45"/>
        <v>3.3661025351492042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3" sqref="I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199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160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161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209</v>
      </c>
      <c r="F72" s="282"/>
      <c r="H72" s="282" t="s">
        <v>208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354691</v>
      </c>
      <c r="D74" s="210"/>
      <c r="E74" s="239">
        <f>Inputs!E91</f>
        <v>354691</v>
      </c>
      <c r="F74" s="210"/>
      <c r="H74" s="239">
        <f>Inputs!F91</f>
        <v>354691</v>
      </c>
      <c r="I74" s="210"/>
      <c r="K74" s="24"/>
    </row>
    <row r="75" spans="1:11" ht="15" customHeight="1" x14ac:dyDescent="0.4">
      <c r="B75" s="104" t="s">
        <v>106</v>
      </c>
      <c r="C75" s="77">
        <f>Data!C8</f>
        <v>66542</v>
      </c>
      <c r="D75" s="160">
        <f>C75/$C$74</f>
        <v>0.18760554961924605</v>
      </c>
      <c r="E75" s="239">
        <f>Inputs!E92</f>
        <v>66542</v>
      </c>
      <c r="F75" s="161">
        <f>E75/E74</f>
        <v>0.18760554961924605</v>
      </c>
      <c r="H75" s="239">
        <f>Inputs!F92</f>
        <v>66542</v>
      </c>
      <c r="I75" s="161">
        <f>H75/$H$74</f>
        <v>0.18760554961924605</v>
      </c>
      <c r="K75" s="24"/>
    </row>
    <row r="76" spans="1:11" ht="15" customHeight="1" x14ac:dyDescent="0.4">
      <c r="B76" s="35" t="s">
        <v>96</v>
      </c>
      <c r="C76" s="162">
        <f>C74-C75</f>
        <v>288149</v>
      </c>
      <c r="D76" s="211"/>
      <c r="E76" s="163">
        <f>E74-E75</f>
        <v>288149</v>
      </c>
      <c r="F76" s="211"/>
      <c r="H76" s="163">
        <f>H74-H75</f>
        <v>288149</v>
      </c>
      <c r="I76" s="211"/>
      <c r="K76" s="24"/>
    </row>
    <row r="77" spans="1:11" ht="15" customHeight="1" x14ac:dyDescent="0.4">
      <c r="B77" s="104" t="s">
        <v>252</v>
      </c>
      <c r="C77" s="77">
        <f>Data!C10+MAX(Data!C11,0)</f>
        <v>69214</v>
      </c>
      <c r="D77" s="160">
        <f>C77/$C$74</f>
        <v>0.19513886735214594</v>
      </c>
      <c r="E77" s="239">
        <f>Inputs!E93</f>
        <v>69214</v>
      </c>
      <c r="F77" s="161">
        <f>E77/E74</f>
        <v>0.19513886735214594</v>
      </c>
      <c r="H77" s="239">
        <f>Inputs!F93</f>
        <v>69214</v>
      </c>
      <c r="I77" s="161">
        <f>H77/$H$74</f>
        <v>0.19513886735214594</v>
      </c>
      <c r="K77" s="24"/>
    </row>
    <row r="78" spans="1:11" ht="15" customHeight="1" x14ac:dyDescent="0.4">
      <c r="B78" s="73" t="s">
        <v>174</v>
      </c>
      <c r="C78" s="77">
        <f>MAX(Data!C12,0)</f>
        <v>1394.6666666666667</v>
      </c>
      <c r="D78" s="160">
        <f>C78/$C$74</f>
        <v>3.9320610522022457E-3</v>
      </c>
      <c r="E78" s="181">
        <f>E74*F78</f>
        <v>1046</v>
      </c>
      <c r="F78" s="161">
        <f>I78</f>
        <v>2.9490457891516841E-3</v>
      </c>
      <c r="H78" s="239">
        <f>Inputs!F97</f>
        <v>1046</v>
      </c>
      <c r="I78" s="161">
        <f>H78/$H$74</f>
        <v>2.9490457891516841E-3</v>
      </c>
      <c r="K78" s="24"/>
    </row>
    <row r="79" spans="1:11" ht="15" customHeight="1" x14ac:dyDescent="0.4">
      <c r="B79" s="257" t="s">
        <v>238</v>
      </c>
      <c r="C79" s="258">
        <f>C76-C77-C78</f>
        <v>217540.33333333334</v>
      </c>
      <c r="D79" s="259">
        <f>C79/C74</f>
        <v>0.61332352197640583</v>
      </c>
      <c r="E79" s="260">
        <f>E76-E77-E78</f>
        <v>217889</v>
      </c>
      <c r="F79" s="259">
        <f>E79/E74</f>
        <v>0.61430653723945627</v>
      </c>
      <c r="G79" s="261"/>
      <c r="H79" s="260">
        <f>H76-H77-H78</f>
        <v>217889</v>
      </c>
      <c r="I79" s="259">
        <f>H79/H74</f>
        <v>0.61430653723945627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261</v>
      </c>
      <c r="C81" s="77">
        <f>MAX(Data!C17,0)</f>
        <v>174153</v>
      </c>
      <c r="D81" s="160">
        <f>C81/$C$74</f>
        <v>0.49099920776112166</v>
      </c>
      <c r="E81" s="181">
        <f>E74*F81</f>
        <v>174153</v>
      </c>
      <c r="F81" s="161">
        <f>I81</f>
        <v>0.49099920776112166</v>
      </c>
      <c r="H81" s="239">
        <f>Inputs!F94</f>
        <v>174153</v>
      </c>
      <c r="I81" s="161">
        <f>H81/$H$74</f>
        <v>0.49099920776112166</v>
      </c>
      <c r="K81" s="24"/>
    </row>
    <row r="82" spans="1:11" ht="15" customHeight="1" x14ac:dyDescent="0.4">
      <c r="B82" s="28" t="s">
        <v>251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43387.333333333343</v>
      </c>
      <c r="D83" s="165">
        <f>C83/$C$74</f>
        <v>0.12232431421528413</v>
      </c>
      <c r="E83" s="166">
        <f>E79-E81-E82-E80</f>
        <v>43736</v>
      </c>
      <c r="F83" s="165">
        <f>E83/E74</f>
        <v>0.12330732947833466</v>
      </c>
      <c r="H83" s="166">
        <f>H79-H81-H82-H80</f>
        <v>43736</v>
      </c>
      <c r="I83" s="165">
        <f>H83/$H$74</f>
        <v>0.12330732947833466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166</v>
      </c>
      <c r="C85" s="258">
        <f>C83*(1-I84)</f>
        <v>32540.500000000007</v>
      </c>
      <c r="D85" s="259">
        <f>C85/$C$74</f>
        <v>9.1743235661463099E-2</v>
      </c>
      <c r="E85" s="265">
        <f>E83*(1-F84)</f>
        <v>32802</v>
      </c>
      <c r="F85" s="259">
        <f>E85/E74</f>
        <v>9.2480497108751003E-2</v>
      </c>
      <c r="G85" s="261"/>
      <c r="H85" s="265">
        <f>H83*(1-I84)</f>
        <v>32802</v>
      </c>
      <c r="I85" s="259">
        <f>H85/$H$74</f>
        <v>9.2480497108751003E-2</v>
      </c>
      <c r="K85" s="24"/>
    </row>
    <row r="86" spans="1:11" ht="15" customHeight="1" x14ac:dyDescent="0.4">
      <c r="B86" s="87" t="s">
        <v>162</v>
      </c>
      <c r="C86" s="168">
        <f>C85*Data!C4/Common_Shares</f>
        <v>0.60837225669043515</v>
      </c>
      <c r="D86" s="210"/>
      <c r="E86" s="169">
        <f>E85*Data!C4/Common_Shares</f>
        <v>0.61326122106174297</v>
      </c>
      <c r="F86" s="210"/>
      <c r="H86" s="169">
        <f>H85*Data!C4/Common_Shares</f>
        <v>0.61326122106174297</v>
      </c>
      <c r="I86" s="210"/>
      <c r="K86" s="24"/>
    </row>
    <row r="87" spans="1:11" ht="15" customHeight="1" x14ac:dyDescent="0.4">
      <c r="B87" s="87" t="s">
        <v>211</v>
      </c>
      <c r="C87" s="262">
        <f>C86*Exchange_Rate/Dashboard!G3</f>
        <v>0.13124159468796301</v>
      </c>
      <c r="D87" s="210"/>
      <c r="E87" s="263">
        <f>E86*Exchange_Rate/Dashboard!G3</f>
        <v>0.13229627046156514</v>
      </c>
      <c r="F87" s="210"/>
      <c r="H87" s="263">
        <f>H86*Exchange_Rate/Dashboard!G3</f>
        <v>0.13229627046156514</v>
      </c>
      <c r="I87" s="210"/>
      <c r="K87" s="24"/>
    </row>
    <row r="88" spans="1:11" ht="15" customHeight="1" x14ac:dyDescent="0.4">
      <c r="B88" s="86" t="s">
        <v>210</v>
      </c>
      <c r="C88" s="170">
        <f>Inputs!C44</f>
        <v>0.51080000000000003</v>
      </c>
      <c r="D88" s="167">
        <f>C88/C86</f>
        <v>0.83961751112512695</v>
      </c>
      <c r="E88" s="171">
        <f>Inputs!E98</f>
        <v>0.3261</v>
      </c>
      <c r="F88" s="167">
        <f>E88/E86</f>
        <v>0.53174730245525881</v>
      </c>
      <c r="H88" s="171">
        <f>Inputs!F98</f>
        <v>0.3261</v>
      </c>
      <c r="I88" s="167">
        <f>H88/H86</f>
        <v>0.53174730245525881</v>
      </c>
      <c r="K88" s="24"/>
    </row>
    <row r="89" spans="1:11" ht="15" customHeight="1" x14ac:dyDescent="0.4">
      <c r="B89" s="87" t="s">
        <v>224</v>
      </c>
      <c r="C89" s="262">
        <f>C88*Exchange_Rate/Dashboard!G3</f>
        <v>0.11019274108800017</v>
      </c>
      <c r="D89" s="210"/>
      <c r="E89" s="262">
        <f>E88*Exchange_Rate/Dashboard!G3</f>
        <v>7.0348184942828615E-2</v>
      </c>
      <c r="F89" s="210"/>
      <c r="H89" s="262">
        <f>H88*Exchange_Rate/Dashboard!G3</f>
        <v>7.0348184942828615E-2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156</v>
      </c>
      <c r="C91" s="21"/>
      <c r="K91" s="50" t="s">
        <v>133</v>
      </c>
    </row>
    <row r="92" spans="1:11" ht="15" customHeight="1" x14ac:dyDescent="0.4">
      <c r="B92" s="10" t="s">
        <v>157</v>
      </c>
      <c r="C92" s="199" t="str">
        <f>Inputs!C15</f>
        <v>CN</v>
      </c>
      <c r="D92" s="10" t="s">
        <v>158</v>
      </c>
      <c r="E92" s="282" t="s">
        <v>209</v>
      </c>
      <c r="F92" s="282"/>
      <c r="G92" s="87"/>
      <c r="H92" s="282" t="s">
        <v>208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212</v>
      </c>
      <c r="F93" s="144">
        <f>FV(E87,D93,0,-(E86/C93))</f>
        <v>15.8530705077997</v>
      </c>
      <c r="H93" s="87" t="s">
        <v>212</v>
      </c>
      <c r="I93" s="144">
        <f>FV(H87,D93,0,-(H86/C93))</f>
        <v>15.8530705077997</v>
      </c>
      <c r="K93" s="24"/>
    </row>
    <row r="94" spans="1:11" ht="15" customHeight="1" x14ac:dyDescent="0.4">
      <c r="B94" s="1" t="s">
        <v>214</v>
      </c>
      <c r="C94" s="183">
        <f>Dashboard!G20</f>
        <v>0.15</v>
      </c>
      <c r="D94" s="145"/>
      <c r="E94" s="87" t="s">
        <v>213</v>
      </c>
      <c r="F94" s="144">
        <f>FV(E89,D93,0,-(E88/C93))</f>
        <v>6.3627328211697405</v>
      </c>
      <c r="H94" s="87" t="s">
        <v>213</v>
      </c>
      <c r="I94" s="144">
        <f>FV(H89,D93,0,-(H88/C93))</f>
        <v>6.3627328211697405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216</v>
      </c>
      <c r="E96" s="184" t="str">
        <f>E72</f>
        <v>Pessimistic Case</v>
      </c>
      <c r="F96" s="228" t="s">
        <v>243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451089.57253400184</v>
      </c>
      <c r="D97" s="214"/>
      <c r="E97" s="123">
        <f>PV(C94,D93,0,-F93)*Exchange_Rate</f>
        <v>8.4335022882879596</v>
      </c>
      <c r="F97" s="214"/>
      <c r="H97" s="123">
        <f>PV(C94,D93,0,-I93)*Exchange_Rate</f>
        <v>8.4335022882879596</v>
      </c>
      <c r="I97" s="123">
        <f>PV(C93,D93,0,-I93)*Exchange_Rate</f>
        <v>11.981832445123601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451089.57253400184</v>
      </c>
      <c r="D100" s="109">
        <f>MIN(F100*(1-C94),E100)</f>
        <v>7.1684769450447652</v>
      </c>
      <c r="E100" s="109">
        <f>MAX(E97-H98+E99,0)</f>
        <v>8.4335022882879596</v>
      </c>
      <c r="F100" s="109">
        <f>(E100+H100)/2</f>
        <v>8.4335022882879596</v>
      </c>
      <c r="H100" s="109">
        <f>MAX(C100*Data!$C$4/Common_Shares,0)</f>
        <v>8.4335022882879596</v>
      </c>
      <c r="I100" s="109">
        <f>MAX(I97-H98+H99,0)</f>
        <v>11.981832445123601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164</v>
      </c>
      <c r="C102" s="127" t="str">
        <f>C96</f>
        <v>HKD</v>
      </c>
      <c r="D102" s="124" t="s">
        <v>216</v>
      </c>
      <c r="E102" s="184" t="str">
        <f>E96</f>
        <v>Pessimistic Case</v>
      </c>
      <c r="F102" s="228" t="s">
        <v>243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163</v>
      </c>
      <c r="C103" s="91">
        <f>H103*Common_Shares/Data!C4</f>
        <v>181047.72996735264</v>
      </c>
      <c r="D103" s="109">
        <f>MIN(F103*(1-C94),E103)</f>
        <v>2.8771147843942466</v>
      </c>
      <c r="E103" s="123">
        <f>PV(C94,D93,0,-F94)*Exchange_Rate</f>
        <v>3.3848409228167609</v>
      </c>
      <c r="F103" s="109">
        <f>(E103+H103)/2</f>
        <v>3.3848409228167609</v>
      </c>
      <c r="H103" s="123">
        <f>PV(C94,D93,0,-I94)*Exchange_Rate</f>
        <v>3.3848409228167609</v>
      </c>
      <c r="I103" s="109">
        <f>PV(C93,D93,0,-I94)*Exchange_Rate</f>
        <v>4.8089862792722569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200</v>
      </c>
      <c r="C105" s="127" t="str">
        <f>C102</f>
        <v>HKD</v>
      </c>
      <c r="D105" s="124" t="s">
        <v>216</v>
      </c>
      <c r="E105" s="185" t="str">
        <f>E96</f>
        <v>Pessimistic Case</v>
      </c>
      <c r="F105" s="228" t="s">
        <v>243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201</v>
      </c>
      <c r="C106" s="91">
        <f>E106*Common_Shares/Data!C4</f>
        <v>316068.65125067718</v>
      </c>
      <c r="D106" s="109">
        <f>(D100+D103)/2</f>
        <v>5.0227958647195061</v>
      </c>
      <c r="E106" s="123">
        <f>(E100+E103)/2</f>
        <v>5.90917160555236</v>
      </c>
      <c r="F106" s="109">
        <f>(F100+F103)/2</f>
        <v>5.90917160555236</v>
      </c>
      <c r="H106" s="123">
        <f>(H100+H103)/2</f>
        <v>5.90917160555236</v>
      </c>
      <c r="I106" s="123">
        <f>(I100+I103)/2</f>
        <v>8.3954093621979293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167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2024-11-28T03:37:19Z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