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EEFC80BD-DB59-47E1-9E41-A41A1B1A92A8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97" i="4" l="1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93" i="4" l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H77" i="3" s="1"/>
  <c r="F92" i="4"/>
  <c r="H75" i="3" s="1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I85" i="3" l="1"/>
  <c r="H86" i="3"/>
  <c r="F93" i="3"/>
  <c r="E97" i="3" s="1"/>
  <c r="E100" i="3" s="1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<sst xmlns="http://schemas.openxmlformats.org/spreadsheetml/2006/main" count="391" uniqueCount="270">
  <si>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</si>
  <si>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</si>
  <si>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</si>
  <si>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</si>
  <si>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</si>
  <si>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</si>
  <si>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</si>
  <si>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</si>
  <si>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</si>
  <si>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</si>
  <si>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</si>
  <si>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</si>
  <si>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</si>
  <si>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</si>
  <si>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</si>
  <si>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</si>
  <si>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</si>
  <si>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</si>
  <si>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</si>
  <si>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</si>
  <si>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</si>
  <si>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</si>
  <si>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</si>
  <si>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</si>
  <si>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</si>
  <si>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</si>
  <si>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</si>
  <si>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</si>
  <si>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</si>
  <si>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</si>
  <si>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</si>
  <si>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</si>
  <si>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</si>
  <si>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</si>
  <si>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</si>
  <si>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</si>
  <si>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</si>
  <si>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</si>
  <si>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</si>
  <si>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</si>
  <si>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</si>
  <si>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</si>
  <si>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</si>
  <si>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</si>
  <si>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</si>
  <si>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</si>
  <si>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</si>
  <si>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</si>
  <si>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</si>
  <si>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</si>
  <si>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</si>
  <si>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</si>
  <si>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</si>
  <si>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</si>
  <si>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</si>
  <si>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</si>
  <si>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</si>
  <si>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</si>
  <si>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</si>
  <si>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</si>
  <si>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</si>
  <si>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</si>
  <si>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</si>
  <si>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</si>
  <si>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</si>
  <si>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</si>
  <si>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</si>
  <si>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</si>
  <si>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</si>
  <si>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</si>
  <si>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</si>
  <si>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</si>
  <si>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</si>
  <si>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</si>
  <si>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</si>
  <si>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</si>
  <si>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</si>
  <si>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</si>
  <si>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</si>
  <si>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</si>
  <si>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</si>
  <si>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</si>
  <si>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</si>
  <si>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</si>
  <si>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</si>
  <si>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</si>
  <si>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</si>
  <si>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</si>
  <si>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</si>
  <si>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</si>
  <si>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</si>
  <si>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</si>
  <si>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</si>
  <si>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</si>
  <si>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</si>
  <si>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</si>
  <si>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</si>
  <si>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</si>
  <si>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</si>
  <si>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</si>
  <si>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</si>
  <si>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</si>
  <si>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</si>
  <si>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</si>
  <si>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</si>
  <si>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</si>
  <si>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</si>
  <si>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</si>
  <si>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</si>
  <si>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</si>
  <si>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</si>
  <si>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</si>
  <si>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</si>
  <si>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</si>
  <si>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</si>
  <si>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</si>
  <si>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</si>
  <si>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</si>
  <si>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</si>
  <si>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</si>
  <si>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</si>
  <si>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</si>
  <si>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</si>
  <si>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</si>
  <si>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</si>
  <si>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</si>
  <si>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</si>
  <si>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</si>
  <si>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</si>
  <si>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</si>
  <si>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</si>
  <si>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</si>
  <si>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</si>
  <si>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</si>
  <si>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</si>
  <si>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</si>
  <si>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</si>
  <si>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</si>
  <si>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</si>
  <si>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</si>
  <si>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</si>
  <si>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</si>
  <si>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</si>
  <si>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</si>
  <si>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</si>
  <si>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</si>
  <si>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</si>
  <si>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</si>
  <si>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</si>
  <si>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</si>
  <si>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</si>
  <si>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</si>
  <si>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</si>
  <si>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</si>
  <si>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</si>
  <si>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</si>
  <si>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</si>
  <si>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</si>
  <si>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</si>
  <si>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</si>
  <si>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</si>
  <si>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</si>
  <si>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</si>
  <si>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</si>
  <si>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</si>
  <si>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</si>
  <si>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</si>
  <si>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</si>
  <si>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</si>
  <si>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</si>
  <si>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</si>
  <si>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</si>
  <si>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</si>
  <si>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</si>
  <si>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</si>
  <si>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</si>
  <si>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</si>
  <si>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</si>
  <si>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</si>
  <si>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</si>
  <si>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</si>
  <si>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</si>
  <si>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</si>
  <si>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</si>
  <si>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</si>
  <si>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</si>
  <si>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</si>
  <si>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</si>
  <si>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</si>
  <si>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</si>
  <si>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</si>
  <si>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</si>
  <si>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</si>
  <si>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</si>
  <si>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</si>
  <si>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</si>
  <si>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</si>
  <si>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</si>
  <si>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</si>
  <si>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</si>
  <si>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</si>
  <si>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</si>
  <si>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</si>
  <si>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</si>
  <si>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</si>
  <si>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</si>
  <si>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</si>
  <si>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</si>
  <si>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</si>
  <si>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</si>
  <si>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</si>
  <si>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</si>
  <si>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</si>
  <si>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</si>
  <si>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</si>
  <si>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</si>
  <si>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</si>
  <si>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</si>
  <si>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</si>
  <si>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</si>
  <si>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</si>
  <si>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</si>
  <si>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</si>
  <si>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</si>
  <si>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</si>
  <si>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</si>
  <si>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</si>
  <si>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</si>
  <si>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</si>
  <si>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</si>
  <si>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</si>
  <si>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</si>
  <si>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</si>
  <si>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</si>
  <si>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</si>
  <si>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</si>
  <si>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</si>
  <si>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</si>
  <si>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</si>
  <si>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</si>
  <si>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</si>
  <si>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</si>
  <si>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</si>
  <si>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</si>
  <si>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</si>
  <si>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</si>
  <si>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</si>
  <si>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</si>
  <si>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</si>
  <si>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</si>
  <si>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</si>
  <si>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</si>
  <si>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</si>
  <si>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</si>
  <si>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</si>
  <si>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</si>
  <si>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</si>
  <si>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</si>
  <si>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</si>
  <si>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</si>
  <si>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</si>
  <si>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</si>
  <si>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</si>
  <si>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</si>
  <si>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1766.HK</t>
  </si>
  <si>
    <t>中国中车</t>
  </si>
  <si>
    <t>C0004</t>
  </si>
  <si>
    <t>CNY</t>
  </si>
  <si>
    <t>CN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</si>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</sst>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0.78463553343209413</c:v>
                </c:pt>
                <c:pt idx="1">
                  <c:v>0.16010732347610457</c:v>
                </c:pt>
                <c:pt idx="2">
                  <c:v>1.2515926965280349E-5</c:v>
                </c:pt>
                <c:pt idx="3">
                  <c:v>0</c:v>
                </c:pt>
                <c:pt idx="4">
                  <c:v>0</c:v>
                </c:pt>
                <c:pt idx="5">
                  <c:v>8.8200573996119572E-5</c:v>
                </c:pt>
                <c:pt idx="6">
                  <c:v>5.5156426590839844E-2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9" zoomScaleNormal="100" workbookViewId="0">
      <selection activeCell="E97" sqref="E9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217</v>
      </c>
    </row>
    <row r="4" spans="1:4" ht="13.9" x14ac:dyDescent="0.4">
      <c r="B4" s="141" t="s">
        <v>197</v>
      </c>
      <c r="C4" s="189" t="s">
        <v>264</v>
      </c>
    </row>
    <row r="5" spans="1:4" ht="13.9" x14ac:dyDescent="0.4">
      <c r="B5" s="141" t="s">
        <v>198</v>
      </c>
      <c r="C5" s="192" t="s">
        <v>265</v>
      </c>
    </row>
    <row r="6" spans="1:4" ht="13.9" x14ac:dyDescent="0.4">
      <c r="B6" s="141" t="s">
        <v>165</v>
      </c>
      <c r="C6" s="190">
        <v>45593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218</v>
      </c>
      <c r="C8" s="192" t="s">
        <v>71</v>
      </c>
    </row>
    <row r="9" spans="1:4" ht="13.9" x14ac:dyDescent="0.4">
      <c r="B9" s="140" t="s">
        <v>219</v>
      </c>
      <c r="C9" s="193" t="s">
        <v>266</v>
      </c>
    </row>
    <row r="10" spans="1:4" ht="13.9" x14ac:dyDescent="0.4">
      <c r="B10" s="140" t="s">
        <v>220</v>
      </c>
      <c r="C10" s="194">
        <v>28698864088</v>
      </c>
    </row>
    <row r="11" spans="1:4" ht="13.9" x14ac:dyDescent="0.4">
      <c r="B11" s="140" t="s">
        <v>221</v>
      </c>
      <c r="C11" s="193" t="s">
        <v>267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222</v>
      </c>
      <c r="C14" s="220">
        <v>45473</v>
      </c>
    </row>
    <row r="15" spans="1:4" ht="13.9" x14ac:dyDescent="0.4">
      <c r="B15" s="219" t="s">
        <v>261</v>
      </c>
      <c r="C15" s="177" t="s">
        <v>268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227</v>
      </c>
      <c r="C17" s="243" t="s">
        <v>235</v>
      </c>
      <c r="D17" s="24"/>
    </row>
    <row r="18" spans="2:13" ht="13.9" x14ac:dyDescent="0.4">
      <c r="B18" s="241" t="s">
        <v>244</v>
      </c>
      <c r="C18" s="243" t="s">
        <v>251</v>
      </c>
      <c r="D18" s="24"/>
    </row>
    <row r="19" spans="2:13" ht="13.9" x14ac:dyDescent="0.4">
      <c r="B19" s="241" t="s">
        <v>245</v>
      </c>
      <c r="C19" s="243" t="s">
        <v>236</v>
      </c>
      <c r="D19" s="24"/>
    </row>
    <row r="20" spans="2:13" ht="13.9" x14ac:dyDescent="0.4">
      <c r="B20" s="242" t="s">
        <v>231</v>
      </c>
      <c r="C20" s="243" t="s">
        <v>236</v>
      </c>
      <c r="D20" s="24"/>
    </row>
    <row r="21" spans="2:13" ht="13.9" x14ac:dyDescent="0.4">
      <c r="B21" s="225" t="s">
        <v>237</v>
      </c>
      <c r="C21" s="243" t="s">
        <v>235</v>
      </c>
      <c r="D21" s="24"/>
    </row>
    <row r="22" spans="2:13" ht="78.75" x14ac:dyDescent="0.4">
      <c r="B22" s="227" t="s">
        <v>233</v>
      </c>
      <c r="C22" s="244" t="s">
        <v>234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234261514</v>
      </c>
      <c r="D25" s="150">
        <v>222938637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183809908</v>
      </c>
      <c r="D26" s="151">
        <v>177260463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37506984</v>
      </c>
      <c r="D27" s="151">
        <v>599182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262</v>
      </c>
      <c r="C29" s="151">
        <v>0</v>
      </c>
      <c r="D29" s="151">
        <v>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2199</v>
      </c>
      <c r="D30" s="151">
        <v>645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-169280</v>
      </c>
      <c r="D31" s="151">
        <v>-50846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35974</v>
      </c>
      <c r="D32" s="151">
        <v>32106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15312</v>
      </c>
      <c r="D33" s="151">
        <v>11600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3160304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131280367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66848740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734909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18682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6202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10412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2824568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7297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2868641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210</v>
      </c>
      <c r="C44" s="251">
        <v>0.2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258</v>
      </c>
      <c r="C45" s="153">
        <f>IF(C44="","",C44*Exchange_Rate/Dashboard!$G$3)</f>
        <v>4.592274828481873E-2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255</v>
      </c>
      <c r="C47" s="195" t="s">
        <v>34</v>
      </c>
      <c r="D47" s="195" t="s">
        <v>199</v>
      </c>
      <c r="E47" s="111" t="s">
        <v>36</v>
      </c>
    </row>
    <row r="48" spans="2:13" ht="13.9" x14ac:dyDescent="0.4">
      <c r="B48" s="3" t="s">
        <v>38</v>
      </c>
      <c r="C48" s="59">
        <v>47742240</v>
      </c>
      <c r="D48" s="60">
        <v>0.9</v>
      </c>
      <c r="E48" s="112"/>
    </row>
    <row r="49" spans="2:5" ht="13.9" x14ac:dyDescent="0.4">
      <c r="B49" s="1" t="s">
        <v>136</v>
      </c>
      <c r="C49" s="59">
        <v>0</v>
      </c>
      <c r="D49" s="60">
        <v>0.8</v>
      </c>
      <c r="E49" s="112"/>
    </row>
    <row r="50" spans="2:5" ht="13.9" x14ac:dyDescent="0.4">
      <c r="B50" s="3" t="s">
        <v>117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7768559</v>
      </c>
      <c r="D51" s="60">
        <v>0.6</v>
      </c>
      <c r="E51" s="112"/>
    </row>
    <row r="52" spans="2:5" ht="13.9" x14ac:dyDescent="0.4">
      <c r="B52" s="3" t="s">
        <v>44</v>
      </c>
      <c r="C52" s="59">
        <v>0</v>
      </c>
      <c r="D52" s="60">
        <v>0.5</v>
      </c>
      <c r="E52" s="112"/>
    </row>
    <row r="53" spans="2:5" ht="13.9" x14ac:dyDescent="0.4">
      <c r="B53" s="1" t="s">
        <v>160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44533603</v>
      </c>
      <c r="D54" s="60">
        <v>0.1</v>
      </c>
      <c r="E54" s="112"/>
    </row>
    <row r="55" spans="2:5" ht="13.9" x14ac:dyDescent="0.4">
      <c r="B55" s="3" t="s">
        <v>47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>
        <v>0</v>
      </c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11709109</v>
      </c>
      <c r="D59" s="196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161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7301425</v>
      </c>
      <c r="D64" s="60">
        <v>0.4</v>
      </c>
      <c r="E64" s="112"/>
    </row>
    <row r="65" spans="2:5" ht="13.9" x14ac:dyDescent="0.4">
      <c r="B65" s="3" t="s">
        <v>70</v>
      </c>
      <c r="C65" s="59">
        <v>21620835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805212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6765810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17178235</v>
      </c>
      <c r="D70" s="60">
        <v>0.05</v>
      </c>
      <c r="E70" s="112"/>
    </row>
    <row r="71" spans="2:5" ht="13.9" x14ac:dyDescent="0.4">
      <c r="B71" s="3" t="s">
        <v>75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37623092</v>
      </c>
      <c r="D72" s="249">
        <v>0</v>
      </c>
      <c r="E72" s="250"/>
    </row>
    <row r="73" spans="2:5" ht="13.9" x14ac:dyDescent="0.4">
      <c r="B73" s="3" t="s">
        <v>39</v>
      </c>
      <c r="C73" s="59">
        <v>12970041</v>
      </c>
    </row>
    <row r="74" spans="2:5" ht="13.9" x14ac:dyDescent="0.4">
      <c r="B74" s="3" t="s">
        <v>40</v>
      </c>
      <c r="C74" s="59">
        <v>13416</v>
      </c>
    </row>
    <row r="75" spans="2:5" ht="13.9" x14ac:dyDescent="0.4">
      <c r="B75" s="3" t="s">
        <v>41</v>
      </c>
      <c r="C75" s="59">
        <v>0</v>
      </c>
    </row>
    <row r="76" spans="2:5" ht="13.9" x14ac:dyDescent="0.4">
      <c r="B76" s="86" t="s">
        <v>43</v>
      </c>
      <c r="C76" s="120">
        <v>9668</v>
      </c>
    </row>
    <row r="77" spans="2:5" ht="14.25" thickBot="1" x14ac:dyDescent="0.45">
      <c r="B77" s="80" t="s">
        <v>16</v>
      </c>
      <c r="C77" s="83">
        <v>255569971</v>
      </c>
    </row>
    <row r="78" spans="2:5" ht="14.25" thickTop="1" x14ac:dyDescent="0.4">
      <c r="B78" s="3" t="s">
        <v>62</v>
      </c>
      <c r="C78" s="59">
        <v>6315552</v>
      </c>
    </row>
    <row r="79" spans="2:5" ht="13.9" x14ac:dyDescent="0.4">
      <c r="B79" s="3" t="s">
        <v>64</v>
      </c>
      <c r="C79" s="59">
        <v>1694399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24023311</v>
      </c>
    </row>
    <row r="83" spans="2:8" ht="14.25" thickTop="1" x14ac:dyDescent="0.4">
      <c r="B83" s="73" t="s">
        <v>223</v>
      </c>
      <c r="C83" s="59">
        <v>160389894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256</v>
      </c>
      <c r="C86" s="198">
        <v>5</v>
      </c>
    </row>
    <row r="87" spans="2:8" ht="13.9" x14ac:dyDescent="0.4">
      <c r="B87" s="10" t="s">
        <v>254</v>
      </c>
      <c r="C87" s="237" t="s">
        <v>269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209</v>
      </c>
      <c r="F89" s="50" t="s">
        <v>208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234261514</v>
      </c>
      <c r="D91" s="210"/>
      <c r="E91" s="252">
        <f>C91</f>
        <v>234261514</v>
      </c>
      <c r="F91" s="252">
        <f>C91</f>
        <v>234261514</v>
      </c>
    </row>
    <row r="92" spans="2:8" ht="13.9" x14ac:dyDescent="0.4">
      <c r="B92" s="104" t="s">
        <v>106</v>
      </c>
      <c r="C92" s="77">
        <f>C26</f>
        <v>183809908</v>
      </c>
      <c r="D92" s="160">
        <f>C92/C91</f>
        <v>0.78463553343209413</v>
      </c>
      <c r="E92" s="253">
        <f>E91*D92</f>
        <v>183809908</v>
      </c>
      <c r="F92" s="253">
        <f>F91*D92</f>
        <v>183809908</v>
      </c>
    </row>
    <row r="93" spans="2:8" ht="13.9" x14ac:dyDescent="0.4">
      <c r="B93" s="104" t="s">
        <v>253</v>
      </c>
      <c r="C93" s="77">
        <f>C27+C28</f>
        <v>37506984</v>
      </c>
      <c r="D93" s="160">
        <f>C93/C91</f>
        <v>0.16010732347610457</v>
      </c>
      <c r="E93" s="253">
        <f>E91*D93</f>
        <v>37506984</v>
      </c>
      <c r="F93" s="253">
        <f>F91*D93</f>
        <v>37506984</v>
      </c>
    </row>
    <row r="94" spans="2:8" ht="13.9" x14ac:dyDescent="0.4">
      <c r="B94" s="104" t="s">
        <v>262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252</v>
      </c>
      <c r="C95" s="77">
        <f>ABS(MAX(C33,0)-C32)</f>
        <v>20662</v>
      </c>
      <c r="D95" s="160">
        <f>C95/C91</f>
        <v>8.8200573996119572E-5</v>
      </c>
      <c r="E95" s="253">
        <f>E91*D95</f>
        <v>20662</v>
      </c>
      <c r="F95" s="253">
        <f>F91*D95</f>
        <v>20662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174</v>
      </c>
      <c r="C97" s="77">
        <f>MAX(C30,0)/(1-C16)</f>
        <v>2932</v>
      </c>
      <c r="D97" s="160">
        <f>C97/C91</f>
        <v>1.2515926965280349E-5</v>
      </c>
      <c r="E97" s="254"/>
      <c r="F97" s="253">
        <f>F91*D97</f>
        <v>2932</v>
      </c>
    </row>
    <row r="98" spans="2:7" ht="13.9" x14ac:dyDescent="0.4">
      <c r="B98" s="86" t="s">
        <v>210</v>
      </c>
      <c r="C98" s="238">
        <f>C44</f>
        <v>0.2</v>
      </c>
      <c r="D98" s="267"/>
      <c r="E98" s="255">
        <f>F98</f>
        <v>0.2</v>
      </c>
      <c r="F98" s="255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1" priority="11">
      <formula>LEN(TRIM(C16))=0</formula>
    </cfRule>
  </conditionalFormatting>
  <conditionalFormatting sqref="C87">
    <cfRule type="containsBlanks" dxfId="20" priority="4">
      <formula>LEN(TRIM(C87))=0</formula>
    </cfRule>
  </conditionalFormatting>
  <conditionalFormatting sqref="C98">
    <cfRule type="containsBlanks" dxfId="19" priority="3">
      <formula>LEN(TRIM(C98))=0</formula>
    </cfRule>
  </conditionalFormatting>
  <conditionalFormatting sqref="D34:M43">
    <cfRule type="containsBlanks" dxfId="18" priority="17">
      <formula>LEN(TRIM(D34))=0</formula>
    </cfRule>
  </conditionalFormatting>
  <conditionalFormatting sqref="E98">
    <cfRule type="containsBlanks" dxfId="17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29" sqref="G29:H29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197</v>
      </c>
      <c r="C3" s="274" t="str">
        <f>Inputs!C4</f>
        <v>1766.HK</v>
      </c>
      <c r="D3" s="275"/>
      <c r="E3" s="87"/>
      <c r="F3" s="3" t="s">
        <v>1</v>
      </c>
      <c r="G3" s="132">
        <v>4.6599998474121103</v>
      </c>
      <c r="H3" s="134" t="s">
        <v>2</v>
      </c>
    </row>
    <row r="4" spans="1:10" ht="15.75" customHeight="1" x14ac:dyDescent="0.4">
      <c r="B4" s="35" t="s">
        <v>198</v>
      </c>
      <c r="C4" s="276" t="str">
        <f>Inputs!C5</f>
        <v>中国中车</v>
      </c>
      <c r="D4" s="277"/>
      <c r="E4" s="87"/>
      <c r="F4" s="3" t="s">
        <v>3</v>
      </c>
      <c r="G4" s="280">
        <f>Inputs!C10</f>
        <v>28698864088</v>
      </c>
      <c r="H4" s="280"/>
      <c r="I4" s="39"/>
    </row>
    <row r="5" spans="1:10" ht="15.75" customHeight="1" x14ac:dyDescent="0.4">
      <c r="B5" s="3" t="s">
        <v>165</v>
      </c>
      <c r="C5" s="278">
        <f>Inputs!C6</f>
        <v>45593</v>
      </c>
      <c r="D5" s="279"/>
      <c r="E5" s="34"/>
      <c r="F5" s="35" t="s">
        <v>100</v>
      </c>
      <c r="G5" s="272">
        <f>G3*G4/1000000</f>
        <v>133736.7022709809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195</v>
      </c>
      <c r="C7" s="188" t="str">
        <f>Inputs!C8</f>
        <v>N</v>
      </c>
      <c r="D7" s="188" t="str">
        <f>Inputs!C9</f>
        <v>C0004</v>
      </c>
      <c r="E7" s="87"/>
      <c r="F7" s="35" t="s">
        <v>6</v>
      </c>
      <c r="G7" s="133">
        <v>1.07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193</v>
      </c>
      <c r="F9" s="143" t="s">
        <v>188</v>
      </c>
    </row>
    <row r="10" spans="1:10" ht="15.75" customHeight="1" x14ac:dyDescent="0.4">
      <c r="B10" s="1" t="s">
        <v>178</v>
      </c>
      <c r="C10" s="173">
        <v>4.2099999999999999E-2</v>
      </c>
      <c r="F10" s="110" t="s">
        <v>185</v>
      </c>
    </row>
    <row r="11" spans="1:10" ht="15.75" customHeight="1" thickBot="1" x14ac:dyDescent="0.45">
      <c r="B11" s="122" t="s">
        <v>182</v>
      </c>
      <c r="C11" s="174">
        <v>5.3099999999999994E-2</v>
      </c>
      <c r="D11" s="137" t="s">
        <v>192</v>
      </c>
      <c r="F11" s="110" t="s">
        <v>180</v>
      </c>
    </row>
    <row r="12" spans="1:10" ht="15.75" customHeight="1" thickTop="1" x14ac:dyDescent="0.4">
      <c r="B12" s="87" t="s">
        <v>259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179</v>
      </c>
      <c r="C14" s="173">
        <v>2.1309999999999999E-2</v>
      </c>
      <c r="F14" s="110" t="s">
        <v>184</v>
      </c>
    </row>
    <row r="15" spans="1:10" ht="15.75" customHeight="1" x14ac:dyDescent="0.4">
      <c r="B15" s="1" t="s">
        <v>189</v>
      </c>
      <c r="C15" s="173">
        <v>6.5000000000000002E-2</v>
      </c>
      <c r="F15" s="110" t="s">
        <v>183</v>
      </c>
    </row>
    <row r="16" spans="1:10" ht="15.75" customHeight="1" thickBot="1" x14ac:dyDescent="0.45">
      <c r="B16" s="122" t="s">
        <v>190</v>
      </c>
      <c r="C16" s="174">
        <v>0.16</v>
      </c>
      <c r="D16" s="266" t="str">
        <f>Inputs!C15</f>
        <v>CN</v>
      </c>
      <c r="F16" s="110" t="s">
        <v>181</v>
      </c>
    </row>
    <row r="17" spans="1:8" ht="15.75" customHeight="1" thickTop="1" x14ac:dyDescent="0.4">
      <c r="B17" s="87" t="s">
        <v>260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186</v>
      </c>
      <c r="C19" s="135" t="s">
        <v>52</v>
      </c>
      <c r="D19" s="87"/>
      <c r="E19" s="87"/>
      <c r="F19" s="142" t="s">
        <v>215</v>
      </c>
      <c r="G19" s="87"/>
      <c r="H19" s="87"/>
    </row>
    <row r="20" spans="1:8" ht="15.75" customHeight="1" x14ac:dyDescent="0.4">
      <c r="B20" s="137" t="s">
        <v>171</v>
      </c>
      <c r="C20" s="172">
        <f>Fin_Analysis!I75</f>
        <v>0.78463553343209413</v>
      </c>
      <c r="F20" s="87" t="s">
        <v>214</v>
      </c>
      <c r="G20" s="173">
        <v>0.15</v>
      </c>
    </row>
    <row r="21" spans="1:8" ht="15.75" customHeight="1" x14ac:dyDescent="0.4">
      <c r="B21" s="137" t="s">
        <v>250</v>
      </c>
      <c r="C21" s="172">
        <f>Fin_Analysis!I77</f>
        <v>0.16010732347610457</v>
      </c>
      <c r="F21" s="87"/>
      <c r="G21" s="29"/>
    </row>
    <row r="22" spans="1:8" ht="15.75" customHeight="1" x14ac:dyDescent="0.4">
      <c r="B22" s="137" t="s">
        <v>194</v>
      </c>
      <c r="C22" s="172">
        <f>Fin_Analysis!I78</f>
        <v>1.2515926965280349E-5</v>
      </c>
      <c r="F22" s="142" t="s">
        <v>187</v>
      </c>
    </row>
    <row r="23" spans="1:8" ht="15.75" customHeight="1" x14ac:dyDescent="0.4">
      <c r="B23" s="137" t="s">
        <v>173</v>
      </c>
      <c r="C23" s="172">
        <f>Fin_Analysis!I80</f>
        <v>0</v>
      </c>
      <c r="F23" s="140" t="s">
        <v>191</v>
      </c>
      <c r="G23" s="178">
        <f>G3/(Data!C36*Data!C4/Common_Shares*Exchange_Rate)</f>
        <v>0.62522980901251923</v>
      </c>
    </row>
    <row r="24" spans="1:8" ht="15.75" customHeight="1" x14ac:dyDescent="0.4">
      <c r="B24" s="137" t="s">
        <v>172</v>
      </c>
      <c r="C24" s="172">
        <f>Fin_Analysis!I81</f>
        <v>0</v>
      </c>
      <c r="F24" s="140" t="s">
        <v>177</v>
      </c>
      <c r="G24" s="179">
        <f>(Fin_Analysis!H86*G7)/G3</f>
        <v>7.753387659424861E-2</v>
      </c>
    </row>
    <row r="25" spans="1:8" ht="15.75" customHeight="1" x14ac:dyDescent="0.4">
      <c r="B25" s="137" t="s">
        <v>249</v>
      </c>
      <c r="C25" s="172">
        <f>Fin_Analysis!I82</f>
        <v>8.8200573996119572E-5</v>
      </c>
      <c r="F25" s="140" t="s">
        <v>176</v>
      </c>
      <c r="G25" s="172">
        <f>Fin_Analysis!I88</f>
        <v>0.59229268936393198</v>
      </c>
    </row>
    <row r="26" spans="1:8" ht="15.75" customHeight="1" x14ac:dyDescent="0.4">
      <c r="B26" s="138" t="s">
        <v>175</v>
      </c>
      <c r="C26" s="172">
        <f>Fin_Analysis!I83</f>
        <v>5.5156426590839844E-2</v>
      </c>
      <c r="F26" s="141" t="s">
        <v>196</v>
      </c>
      <c r="G26" s="179">
        <f>Fin_Analysis!H88*Exchange_Rate/G3</f>
        <v>4.592274828481873E-2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168</v>
      </c>
      <c r="D28" s="43" t="s">
        <v>169</v>
      </c>
      <c r="E28" s="58"/>
      <c r="F28" s="53" t="s">
        <v>243</v>
      </c>
      <c r="G28" s="270" t="s">
        <v>263</v>
      </c>
      <c r="H28" s="270"/>
    </row>
    <row r="29" spans="1:8" ht="15.75" customHeight="1" x14ac:dyDescent="0.4">
      <c r="B29" s="87" t="s">
        <v>170</v>
      </c>
      <c r="C29" s="130">
        <f>IF(Fin_Analysis!C108="Profit",Fin_Analysis!D100,IF(Fin_Analysis!C108="Dividend",Fin_Analysis!D103,Fin_Analysis!D106))</f>
        <v>1.5722045354425844</v>
      </c>
      <c r="D29" s="129">
        <f>G29*(1+G20)</f>
        <v>3.0220610565096293</v>
      </c>
      <c r="E29" s="87"/>
      <c r="F29" s="131">
        <f>IF(Fin_Analysis!C108="Profit",Fin_Analysis!F100,IF(Fin_Analysis!C108="Dividend",Fin_Analysis!F103,Fin_Analysis!F106))</f>
        <v>1.8496523946383348</v>
      </c>
      <c r="G29" s="271">
        <f>IF(Fin_Analysis!C108="Profit",Fin_Analysis!I100,IF(Fin_Analysis!C108="Dividend",Fin_Analysis!I103,Fin_Analysis!I106))</f>
        <v>2.6278791795735907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225</v>
      </c>
      <c r="C31"/>
    </row>
    <row r="32" spans="1:8" ht="15.75" customHeight="1" x14ac:dyDescent="0.4">
      <c r="A32"/>
      <c r="B32" s="197" t="s">
        <v>226</v>
      </c>
      <c r="C32" s="225"/>
    </row>
    <row r="33" spans="1:3" ht="15.75" customHeight="1" x14ac:dyDescent="0.4">
      <c r="A33"/>
      <c r="B33" s="20" t="s">
        <v>227</v>
      </c>
      <c r="C33" s="246" t="str">
        <f>Inputs!C17</f>
        <v>Strongly agree</v>
      </c>
    </row>
    <row r="34" spans="1:3" ht="15.75" customHeight="1" x14ac:dyDescent="0.4">
      <c r="A34"/>
      <c r="B34" s="19" t="s">
        <v>228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229</v>
      </c>
      <c r="C35" s="225"/>
    </row>
    <row r="36" spans="1:3" ht="15.75" customHeight="1" x14ac:dyDescent="0.4">
      <c r="A36"/>
      <c r="B36" s="20" t="s">
        <v>244</v>
      </c>
      <c r="C36" s="246" t="str">
        <f>Inputs!C18</f>
        <v>unclear</v>
      </c>
    </row>
    <row r="37" spans="1:3" ht="15.75" customHeight="1" x14ac:dyDescent="0.4">
      <c r="A37"/>
      <c r="B37" s="20" t="s">
        <v>245</v>
      </c>
      <c r="C37" s="246" t="str">
        <f>Inputs!C19</f>
        <v>agree</v>
      </c>
    </row>
    <row r="38" spans="1:3" ht="15.75" customHeight="1" x14ac:dyDescent="0.4">
      <c r="A38"/>
      <c r="B38" s="197" t="s">
        <v>230</v>
      </c>
      <c r="C38" s="225"/>
    </row>
    <row r="39" spans="1:3" ht="15.75" customHeight="1" x14ac:dyDescent="0.4">
      <c r="A39"/>
      <c r="B39" s="19" t="s">
        <v>231</v>
      </c>
      <c r="C39" s="246" t="str">
        <f>Inputs!C20</f>
        <v>agree</v>
      </c>
    </row>
    <row r="40" spans="1:3" ht="15.75" customHeight="1" x14ac:dyDescent="0.4">
      <c r="A40"/>
      <c r="B40" s="1" t="s">
        <v>237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232</v>
      </c>
      <c r="C42"/>
    </row>
    <row r="43" spans="1:3" ht="65.650000000000006" x14ac:dyDescent="0.4">
      <c r="A43"/>
      <c r="B43" s="227" t="s">
        <v>233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202</v>
      </c>
      <c r="F2" s="119" t="s">
        <v>205</v>
      </c>
      <c r="G2" s="149" t="s">
        <v>206</v>
      </c>
      <c r="H2" s="148" t="s">
        <v>207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203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204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234261514</v>
      </c>
      <c r="D6" s="201">
        <f>IF(Inputs!D25="","",Inputs!D25)</f>
        <v>222938637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183809908</v>
      </c>
      <c r="D8" s="200">
        <f>IF(Inputs!D26="","",Inputs!D26)</f>
        <v>177260463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50451606</v>
      </c>
      <c r="D9" s="152">
        <f t="shared" si="2"/>
        <v>45678174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37506984</v>
      </c>
      <c r="D10" s="200">
        <f>IF(Inputs!D27="","",Inputs!D27)</f>
        <v>599182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246</v>
      </c>
      <c r="C12" s="200">
        <f>IF(Inputs!C30="","",MAX(Inputs!C30,0)/(1-Fin_Analysis!$I$84))</f>
        <v>2932</v>
      </c>
      <c r="D12" s="200">
        <f>IF(Inputs!D30="","",MAX(Inputs!D30,0)/(1-Fin_Analysis!$I$84))</f>
        <v>860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247</v>
      </c>
      <c r="C13" s="230">
        <f t="shared" ref="C13:M13" si="3">IF(C14="","",C14/C6)</f>
        <v>5.5244627164835962E-2</v>
      </c>
      <c r="D13" s="230">
        <f t="shared" si="3"/>
        <v>0.20219972906715133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239</v>
      </c>
      <c r="C14" s="231">
        <f>IF(C6="","",C9-C10-MAX(C11,0)-MAX(C12,0))</f>
        <v>12941690</v>
      </c>
      <c r="D14" s="231">
        <f t="shared" ref="D14:M14" si="4">IF(D6="","",D9-D10-MAX(D11,0)-MAX(D12,0))</f>
        <v>45078132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248</v>
      </c>
      <c r="C15" s="233">
        <f>IF(D14="","",IF(ABS(C14+D14)=ABS(C14)+ABS(D14),IF(C14&lt;0,-1,1)*(C14-D14)/D14,"Turn"))</f>
        <v>-0.71290536173947938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-169280</v>
      </c>
      <c r="D16" s="200">
        <f>IF(Inputs!D31="","",Inputs!D31)</f>
        <v>-50846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262</v>
      </c>
      <c r="C17" s="200">
        <f>IF(Inputs!C29="","",Inputs!C29)</f>
        <v>0</v>
      </c>
      <c r="D17" s="200">
        <f>IF(Inputs!D29="","",Inputs!D29)</f>
        <v>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1.5356342314085786E-4</v>
      </c>
      <c r="D18" s="153">
        <f t="shared" si="6"/>
        <v>1.4401272220929565E-4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35974</v>
      </c>
      <c r="D19" s="200">
        <f>IF(Inputs!D32="","",Inputs!D32)</f>
        <v>32106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241</v>
      </c>
      <c r="C20" s="153">
        <f t="shared" ref="C20:M20" si="7">IF(C6="","",MAX(C21,0)/C6)</f>
        <v>6.5362849144738304E-5</v>
      </c>
      <c r="D20" s="153">
        <f t="shared" si="7"/>
        <v>5.2032254956326836E-5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15312</v>
      </c>
      <c r="D21" s="200">
        <f>IF(Inputs!D33="","",Inputs!D33)</f>
        <v>11600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12921028</v>
      </c>
      <c r="D22" s="162">
        <f t="shared" ref="D22:M22" si="8">IF(D6="","",D14-MAX(D16,0)-MAX(D17,0)-ABS(MAX(D21,0)-MAX(D19,0)))</f>
        <v>45057626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4.1367319943129879E-2</v>
      </c>
      <c r="D23" s="154">
        <f t="shared" si="9"/>
        <v>0.15158081144992377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-0.71323327154431082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479499893</v>
      </c>
      <c r="D27" s="65">
        <f t="shared" ref="D27:M27" si="20">IF(D36="","",D36+D31+D32)</f>
        <v>3578159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319587946</v>
      </c>
      <c r="D28" s="200">
        <f>IF(Inputs!D34="","",Inputs!D34)</f>
        <v>3160304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121633388</v>
      </c>
      <c r="D29" s="200">
        <f>IF(Inputs!D35="","",Inputs!D35)</f>
        <v>131280367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86201047</v>
      </c>
      <c r="D30" s="200">
        <f>IF(Inputs!D36="","",Inputs!D36)</f>
        <v>66848740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255569971</v>
      </c>
      <c r="D31" s="200">
        <f>IF(Inputs!D37="","",Inputs!D37)</f>
        <v>734909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24023311</v>
      </c>
      <c r="D32" s="200">
        <f>IF(Inputs!D38="","",Inputs!D38)</f>
        <v>18682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12993125</v>
      </c>
      <c r="D33" s="200">
        <f>IF(Inputs!D39="","",Inputs!D39)</f>
        <v>6202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8009951</v>
      </c>
      <c r="D34" s="200">
        <f>IF(Inputs!D40="","",Inputs!D40)</f>
        <v>10412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21003076</v>
      </c>
      <c r="D35" s="77">
        <f t="shared" ref="D35" si="22">IF(OR(D33="",D34=""),"",D33+D34)</f>
        <v>16614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199906611</v>
      </c>
      <c r="D36" s="200">
        <f>IF(Inputs!D41="","",Inputs!D41)</f>
        <v>2824568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39516717</v>
      </c>
      <c r="D37" s="200">
        <f>IF(Inputs!D42="","",Inputs!D42)</f>
        <v>7297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81640747</v>
      </c>
      <c r="D38" s="200">
        <f>IF(Inputs!D43="","",Inputs!D43)</f>
        <v>2868641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397859146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159</v>
      </c>
      <c r="C40" s="156">
        <f>IF(C6="","",C14/MAX(C39,0))</f>
        <v>3.2528320965128699E-2</v>
      </c>
      <c r="D40" s="156">
        <f>IF(D6="","",D14/MAX(D39,0))</f>
        <v>63.533457924957503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0.78463553343209413</v>
      </c>
      <c r="D42" s="157">
        <f t="shared" si="34"/>
        <v>0.79510875900797762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240</v>
      </c>
      <c r="C43" s="154">
        <f t="shared" ref="C43:M43" si="35">IF(C6="","",(C10+MAX(C11,0))/C6)</f>
        <v>0.16010732347610457</v>
      </c>
      <c r="D43" s="154">
        <f t="shared" si="35"/>
        <v>2.6876543611415371E-3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1.2515926965280349E-5</v>
      </c>
      <c r="D46" s="154">
        <f t="shared" ref="D46:M46" si="38">IF(D6="","",MAX(D12,0)/D6)</f>
        <v>3.8575637295207831E-6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242</v>
      </c>
      <c r="C47" s="154">
        <f>IF(C6="","",ABS(MAX(C21,0)-MAX(C19,0))/C6)</f>
        <v>8.8200573996119572E-5</v>
      </c>
      <c r="D47" s="154">
        <f t="shared" ref="D47:M47" si="39">IF(D6="","",ABS(MAX(D21,0)-MAX(D19,0))/D6)</f>
        <v>9.1980467252968803E-5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5.5156426590839844E-2</v>
      </c>
      <c r="D48" s="154">
        <f t="shared" si="40"/>
        <v>0.20210774859989836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0.51922053231500931</v>
      </c>
      <c r="D50" s="157">
        <f t="shared" si="41"/>
        <v>0.58886323504346172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0.36796930715644566</v>
      </c>
      <c r="D51" s="154">
        <f t="shared" si="42"/>
        <v>0.29985264510251758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0.58309352323463393</v>
      </c>
      <c r="D53" s="157">
        <f t="shared" ref="D53:M53" si="43">IF(D36="","",(D27-D36)/D27)</f>
        <v>0.21060858391144721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0.61519693591548208</v>
      </c>
      <c r="D54" s="158">
        <f t="shared" si="44"/>
        <v>2712.0275671120739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1.250490989804119</v>
      </c>
      <c r="D56" s="159">
        <f t="shared" si="46"/>
        <v>4.3002657471877468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1" priority="4">
      <formula>LEN(TRIM(C6))=0</formula>
    </cfRule>
  </conditionalFormatting>
  <conditionalFormatting sqref="C25:M25">
    <cfRule type="containsBlanks" dxfId="10" priority="3">
      <formula>LEN(TRIM(C25))=0</formula>
    </cfRule>
  </conditionalFormatting>
  <conditionalFormatting sqref="D24:M24">
    <cfRule type="containsBlanks" dxfId="9" priority="2">
      <formula>LEN(TRIM(D24))=0</formula>
    </cfRule>
  </conditionalFormatting>
  <conditionalFormatting sqref="F4">
    <cfRule type="containsBlanks" dxfId="8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94" zoomScaleNormal="100" workbookViewId="0">
      <selection activeCell="E104" sqref="E104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199906611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160389894</v>
      </c>
      <c r="K3" s="24"/>
    </row>
    <row r="4" spans="1:11" ht="15" customHeight="1" x14ac:dyDescent="0.4">
      <c r="B4" s="3" t="s">
        <v>25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1.250490989804119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-140833676.06</v>
      </c>
      <c r="E6" s="56">
        <f>1-D6/D3</f>
        <v>1.7044973418112721</v>
      </c>
      <c r="F6" s="87"/>
      <c r="G6" s="87"/>
      <c r="H6" s="1" t="s">
        <v>30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199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47742240</v>
      </c>
      <c r="D11" s="199">
        <f>Inputs!D48</f>
        <v>0.9</v>
      </c>
      <c r="E11" s="88">
        <f t="shared" ref="E11:E22" si="0">C11*D11</f>
        <v>42968016</v>
      </c>
      <c r="F11" s="112"/>
      <c r="G11" s="87"/>
      <c r="H11" s="3" t="s">
        <v>39</v>
      </c>
      <c r="I11" s="40">
        <f>Inputs!C73</f>
        <v>12970041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13416</v>
      </c>
      <c r="J12" s="87"/>
      <c r="K12" s="24"/>
    </row>
    <row r="13" spans="1:11" ht="13.9" x14ac:dyDescent="0.4">
      <c r="B13" s="3" t="s">
        <v>117</v>
      </c>
      <c r="C13" s="40">
        <f>Inputs!C50</f>
        <v>121633388</v>
      </c>
      <c r="D13" s="199">
        <f>Inputs!D50</f>
        <v>0.6</v>
      </c>
      <c r="E13" s="88">
        <f t="shared" si="0"/>
        <v>72980032.799999997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7768559</v>
      </c>
      <c r="D14" s="199">
        <f>Inputs!D51</f>
        <v>0.6</v>
      </c>
      <c r="E14" s="88">
        <f t="shared" si="0"/>
        <v>4661135.3999999994</v>
      </c>
      <c r="F14" s="112"/>
      <c r="G14" s="87"/>
      <c r="H14" s="86" t="s">
        <v>43</v>
      </c>
      <c r="I14" s="206">
        <f>Inputs!C76</f>
        <v>9668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12993125</v>
      </c>
      <c r="J15" s="87"/>
    </row>
    <row r="16" spans="1:11" ht="13.9" x14ac:dyDescent="0.4">
      <c r="B16" s="1" t="s">
        <v>160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44533603</v>
      </c>
      <c r="D17" s="199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86201047</v>
      </c>
      <c r="D18" s="199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11709109</v>
      </c>
      <c r="D22" s="199">
        <f>Inputs!D59</f>
        <v>0.05</v>
      </c>
      <c r="E22" s="88">
        <f t="shared" si="0"/>
        <v>585455.45000000007</v>
      </c>
      <c r="F22" s="112"/>
      <c r="G22" s="87"/>
      <c r="H22" s="3" t="s">
        <v>45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55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56</v>
      </c>
      <c r="I25" s="63">
        <f>E28/I28</f>
        <v>0.66028306373286705</v>
      </c>
    </row>
    <row r="26" spans="2:10" ht="15" customHeight="1" x14ac:dyDescent="0.4">
      <c r="B26" s="23" t="s">
        <v>57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58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60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16</v>
      </c>
      <c r="I28" s="207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6315552</v>
      </c>
      <c r="J30" s="87"/>
    </row>
    <row r="31" spans="2:10" ht="15" customHeight="1" x14ac:dyDescent="0.4">
      <c r="B31" s="3" t="s">
        <v>63</v>
      </c>
      <c r="C31" s="40">
        <f>Inputs!C61</f>
        <v>2881955</v>
      </c>
      <c r="D31" s="199">
        <f>Inputs!D61</f>
        <v>0.6</v>
      </c>
      <c r="E31" s="88">
        <f t="shared" ref="E31:E42" si="1">C31*D31</f>
        <v>1729173</v>
      </c>
      <c r="F31" s="112"/>
      <c r="G31" s="87"/>
      <c r="H31" s="3" t="s">
        <v>64</v>
      </c>
      <c r="I31" s="40">
        <f>Inputs!C79</f>
        <v>1694399</v>
      </c>
      <c r="J31" s="87"/>
    </row>
    <row r="32" spans="2:10" ht="15" customHeight="1" x14ac:dyDescent="0.4">
      <c r="B32" s="3" t="s">
        <v>65</v>
      </c>
      <c r="C32" s="40">
        <f>Inputs!C62</f>
        <v>821946</v>
      </c>
      <c r="D32" s="199">
        <f>Inputs!D62</f>
        <v>0.5</v>
      </c>
      <c r="E32" s="88">
        <f t="shared" si="1"/>
        <v>410973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161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7301425</v>
      </c>
      <c r="D34" s="199">
        <f>Inputs!D64</f>
        <v>0.4</v>
      </c>
      <c r="E34" s="88">
        <f t="shared" si="1"/>
        <v>2920570</v>
      </c>
      <c r="F34" s="112"/>
      <c r="G34" s="87"/>
      <c r="H34" s="1" t="s">
        <v>78</v>
      </c>
      <c r="I34" s="84">
        <f>SUM(I30:I33)</f>
        <v>8009951</v>
      </c>
      <c r="J34" s="87"/>
    </row>
    <row r="35" spans="2:10" ht="13.9" x14ac:dyDescent="0.4">
      <c r="B35" s="3" t="s">
        <v>70</v>
      </c>
      <c r="C35" s="40">
        <f>Inputs!C65</f>
        <v>21620835</v>
      </c>
      <c r="D35" s="199">
        <f>Inputs!D65</f>
        <v>0.1</v>
      </c>
      <c r="E35" s="88">
        <f t="shared" si="1"/>
        <v>2162083.5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805212</v>
      </c>
      <c r="D36" s="199">
        <f>Inputs!D66</f>
        <v>0.2</v>
      </c>
      <c r="E36" s="88">
        <f t="shared" si="1"/>
        <v>161042.40000000002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6765810</v>
      </c>
      <c r="D37" s="199">
        <f>Inputs!D67</f>
        <v>0.1</v>
      </c>
      <c r="E37" s="88">
        <f t="shared" si="1"/>
        <v>676581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60750263</v>
      </c>
      <c r="D38" s="199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17178235</v>
      </c>
      <c r="D40" s="199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4163174</v>
      </c>
      <c r="D41" s="199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37623092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81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83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85</v>
      </c>
      <c r="I48" s="208">
        <f>Inputs!C82</f>
        <v>24023311</v>
      </c>
      <c r="J48" s="8"/>
    </row>
    <row r="49" spans="2:11" ht="15" customHeight="1" thickTop="1" x14ac:dyDescent="0.4">
      <c r="B49" s="3" t="s">
        <v>14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86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21003076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47742240</v>
      </c>
      <c r="D62" s="107">
        <f t="shared" si="2"/>
        <v>0.9</v>
      </c>
      <c r="E62" s="118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209</v>
      </c>
      <c r="F72" s="282"/>
      <c r="H72" s="282" t="s">
        <v>208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234261514</v>
      </c>
      <c r="D74" s="210"/>
      <c r="E74" s="239">
        <f>Inputs!E91</f>
        <v>234261514</v>
      </c>
      <c r="F74" s="210"/>
      <c r="H74" s="239">
        <f>Inputs!F91</f>
        <v>234261514</v>
      </c>
      <c r="I74" s="210"/>
      <c r="K74" s="24"/>
    </row>
    <row r="75" spans="1:11" ht="15" customHeight="1" x14ac:dyDescent="0.4">
      <c r="B75" s="104" t="s">
        <v>106</v>
      </c>
      <c r="C75" s="77">
        <f>Data!C8</f>
        <v>183809908</v>
      </c>
      <c r="D75" s="160">
        <f>C75/$C$74</f>
        <v>0.78463553343209413</v>
      </c>
      <c r="E75" s="239">
        <f>Inputs!E92</f>
        <v>183809908</v>
      </c>
      <c r="F75" s="161">
        <f>E75/E74</f>
        <v>0.78463553343209413</v>
      </c>
      <c r="H75" s="239">
        <f>Inputs!F92</f>
        <v>183809908</v>
      </c>
      <c r="I75" s="161">
        <f>H75/$H$74</f>
        <v>0.78463553343209413</v>
      </c>
      <c r="K75" s="24"/>
    </row>
    <row r="76" spans="1:11" ht="15" customHeight="1" x14ac:dyDescent="0.4">
      <c r="B76" s="35" t="s">
        <v>96</v>
      </c>
      <c r="C76" s="162">
        <f>C74-C75</f>
        <v>50451606</v>
      </c>
      <c r="D76" s="211"/>
      <c r="E76" s="163">
        <f>E74-E75</f>
        <v>50451606</v>
      </c>
      <c r="F76" s="211"/>
      <c r="H76" s="163">
        <f>H74-H75</f>
        <v>50451606</v>
      </c>
      <c r="I76" s="211"/>
      <c r="K76" s="24"/>
    </row>
    <row r="77" spans="1:11" ht="15" customHeight="1" x14ac:dyDescent="0.4">
      <c r="B77" s="104" t="s">
        <v>253</v>
      </c>
      <c r="C77" s="77">
        <f>Data!C10+MAX(Data!C11,0)</f>
        <v>37506984</v>
      </c>
      <c r="D77" s="160">
        <f>C77/$C$74</f>
        <v>0.16010732347610457</v>
      </c>
      <c r="E77" s="239">
        <f>Inputs!E93</f>
        <v>37506984</v>
      </c>
      <c r="F77" s="161">
        <f>E77/E74</f>
        <v>0.16010732347610457</v>
      </c>
      <c r="H77" s="239">
        <f>Inputs!F93</f>
        <v>37506984</v>
      </c>
      <c r="I77" s="161">
        <f>H77/$H$74</f>
        <v>0.16010732347610457</v>
      </c>
      <c r="K77" s="24"/>
    </row>
    <row r="78" spans="1:11" ht="15" customHeight="1" x14ac:dyDescent="0.4">
      <c r="B78" s="73" t="s">
        <v>174</v>
      </c>
      <c r="C78" s="77">
        <f>MAX(Data!C12,0)</f>
        <v>2932</v>
      </c>
      <c r="D78" s="160">
        <f>C78/$C$74</f>
        <v>1.2515926965280349E-5</v>
      </c>
      <c r="E78" s="181">
        <f>E74*F78</f>
        <v>2932</v>
      </c>
      <c r="F78" s="161">
        <f>I78</f>
        <v>1.2515926965280349E-5</v>
      </c>
      <c r="H78" s="239">
        <f>Inputs!F97</f>
        <v>2932</v>
      </c>
      <c r="I78" s="161">
        <f>H78/$H$74</f>
        <v>1.2515926965280349E-5</v>
      </c>
      <c r="K78" s="24"/>
    </row>
    <row r="79" spans="1:11" ht="15" customHeight="1" x14ac:dyDescent="0.4">
      <c r="B79" s="257" t="s">
        <v>238</v>
      </c>
      <c r="C79" s="258">
        <f>C76-C77-C78</f>
        <v>12941690</v>
      </c>
      <c r="D79" s="259">
        <f>C79/C74</f>
        <v>5.5244627164835962E-2</v>
      </c>
      <c r="E79" s="260">
        <f>E76-E77-E78</f>
        <v>12941690</v>
      </c>
      <c r="F79" s="259">
        <f>E79/E74</f>
        <v>5.5244627164835962E-2</v>
      </c>
      <c r="G79" s="261"/>
      <c r="H79" s="260">
        <f>H76-H77-H78</f>
        <v>12941690</v>
      </c>
      <c r="I79" s="259">
        <f>H79/H74</f>
        <v>5.5244627164835962E-2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262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252</v>
      </c>
      <c r="C82" s="77">
        <f>ABS(MAX(Data!C21,0)-MAX(Data!C19,0))</f>
        <v>20662</v>
      </c>
      <c r="D82" s="160">
        <f>C82/$C$74</f>
        <v>8.8200573996119572E-5</v>
      </c>
      <c r="E82" s="239">
        <f>Inputs!E95</f>
        <v>20662</v>
      </c>
      <c r="F82" s="161">
        <f>E82/E74</f>
        <v>8.8200573996119572E-5</v>
      </c>
      <c r="H82" s="239">
        <f>Inputs!F95</f>
        <v>20662</v>
      </c>
      <c r="I82" s="161">
        <f>H82/$H$74</f>
        <v>8.8200573996119572E-5</v>
      </c>
      <c r="K82" s="24"/>
    </row>
    <row r="83" spans="1:11" ht="15" customHeight="1" thickBot="1" x14ac:dyDescent="0.45">
      <c r="B83" s="105" t="s">
        <v>126</v>
      </c>
      <c r="C83" s="164">
        <f>C79-C81-C82-C80</f>
        <v>12921028</v>
      </c>
      <c r="D83" s="165">
        <f>C83/$C$74</f>
        <v>5.5156426590839844E-2</v>
      </c>
      <c r="E83" s="166">
        <f>E79-E81-E82-E80</f>
        <v>12921028</v>
      </c>
      <c r="F83" s="165">
        <f>E83/E74</f>
        <v>5.5156426590839844E-2</v>
      </c>
      <c r="H83" s="166">
        <f>H79-H81-H82-H80</f>
        <v>12921028</v>
      </c>
      <c r="I83" s="165">
        <f>H83/$H$74</f>
        <v>5.5156426590839844E-2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166</v>
      </c>
      <c r="C85" s="258">
        <f>C83*(1-I84)</f>
        <v>9690771</v>
      </c>
      <c r="D85" s="259">
        <f>C85/$C$74</f>
        <v>4.1367319943129879E-2</v>
      </c>
      <c r="E85" s="265">
        <f>E83*(1-F84)</f>
        <v>9690771</v>
      </c>
      <c r="F85" s="259">
        <f>E85/E74</f>
        <v>4.1367319943129879E-2</v>
      </c>
      <c r="G85" s="261"/>
      <c r="H85" s="265">
        <f>H83*(1-I84)</f>
        <v>9690771</v>
      </c>
      <c r="I85" s="259">
        <f>H85/$H$74</f>
        <v>4.1367319943129879E-2</v>
      </c>
      <c r="K85" s="24"/>
    </row>
    <row r="86" spans="1:11" ht="15" customHeight="1" x14ac:dyDescent="0.4">
      <c r="B86" s="87" t="s">
        <v>162</v>
      </c>
      <c r="C86" s="168">
        <f>C85*Data!C4/Common_Shares</f>
        <v>0.33767089074623169</v>
      </c>
      <c r="D86" s="210"/>
      <c r="E86" s="169">
        <f>E85*Data!C4/Common_Shares</f>
        <v>0.33767089074623169</v>
      </c>
      <c r="F86" s="210"/>
      <c r="H86" s="169">
        <f>H85*Data!C4/Common_Shares</f>
        <v>0.33767089074623169</v>
      </c>
      <c r="I86" s="210"/>
      <c r="K86" s="24"/>
    </row>
    <row r="87" spans="1:11" ht="15" customHeight="1" x14ac:dyDescent="0.4">
      <c r="B87" s="87" t="s">
        <v>211</v>
      </c>
      <c r="C87" s="262">
        <f>C86*Exchange_Rate/Dashboard!G3</f>
        <v>7.753387659424861E-2</v>
      </c>
      <c r="D87" s="210"/>
      <c r="E87" s="263">
        <f>E86*Exchange_Rate/Dashboard!G3</f>
        <v>7.753387659424861E-2</v>
      </c>
      <c r="F87" s="210"/>
      <c r="H87" s="263">
        <f>H86*Exchange_Rate/Dashboard!G3</f>
        <v>7.753387659424861E-2</v>
      </c>
      <c r="I87" s="210"/>
      <c r="K87" s="24"/>
    </row>
    <row r="88" spans="1:11" ht="15" customHeight="1" x14ac:dyDescent="0.4">
      <c r="B88" s="86" t="s">
        <v>210</v>
      </c>
      <c r="C88" s="170">
        <f>Inputs!C44</f>
        <v>0.2</v>
      </c>
      <c r="D88" s="167">
        <f>C88/C86</f>
        <v>0.59229268936393198</v>
      </c>
      <c r="E88" s="171">
        <f>Inputs!E98</f>
        <v>0.2</v>
      </c>
      <c r="F88" s="167">
        <f>E88/E86</f>
        <v>0.59229268936393198</v>
      </c>
      <c r="H88" s="171">
        <f>Inputs!F98</f>
        <v>0.2</v>
      </c>
      <c r="I88" s="167">
        <f>H88/H86</f>
        <v>0.59229268936393198</v>
      </c>
      <c r="K88" s="24"/>
    </row>
    <row r="89" spans="1:11" ht="15" customHeight="1" x14ac:dyDescent="0.4">
      <c r="B89" s="87" t="s">
        <v>224</v>
      </c>
      <c r="C89" s="262">
        <f>C88*Exchange_Rate/Dashboard!G3</f>
        <v>4.592274828481873E-2</v>
      </c>
      <c r="D89" s="210"/>
      <c r="E89" s="262">
        <f>E88*Exchange_Rate/Dashboard!G3</f>
        <v>4.592274828481873E-2</v>
      </c>
      <c r="F89" s="210"/>
      <c r="H89" s="262">
        <f>H88*Exchange_Rate/Dashboard!G3</f>
        <v>4.592274828481873E-2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156</v>
      </c>
      <c r="C91" s="21"/>
      <c r="K91" s="50" t="s">
        <v>133</v>
      </c>
    </row>
    <row r="92" spans="1:11" ht="15" customHeight="1" x14ac:dyDescent="0.4">
      <c r="B92" s="10" t="s">
        <v>157</v>
      </c>
      <c r="C92" s="199" t="str">
        <f>Inputs!C15</f>
        <v>CN</v>
      </c>
      <c r="D92" s="10" t="s">
        <v>158</v>
      </c>
      <c r="E92" s="282" t="s">
        <v>209</v>
      </c>
      <c r="F92" s="282"/>
      <c r="G92" s="87"/>
      <c r="H92" s="282" t="s">
        <v>208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212</v>
      </c>
      <c r="F93" s="144">
        <f>FV(E87,D93,0,-(E86/C93))</f>
        <v>6.812645506959436</v>
      </c>
      <c r="H93" s="87" t="s">
        <v>212</v>
      </c>
      <c r="I93" s="144">
        <f>FV(H87,D93,0,-(H86/C93))</f>
        <v>6.812645506959436</v>
      </c>
      <c r="K93" s="24"/>
    </row>
    <row r="94" spans="1:11" ht="15" customHeight="1" x14ac:dyDescent="0.4">
      <c r="B94" s="1" t="s">
        <v>214</v>
      </c>
      <c r="C94" s="183">
        <f>Dashboard!G20</f>
        <v>0.15</v>
      </c>
      <c r="D94" s="145"/>
      <c r="E94" s="87" t="s">
        <v>213</v>
      </c>
      <c r="F94" s="144">
        <f>FV(E89,D93,0,-(E88/C93))</f>
        <v>3.4769267647966351</v>
      </c>
      <c r="H94" s="87" t="s">
        <v>213</v>
      </c>
      <c r="I94" s="144">
        <f>FV(H89,D93,0,-(H88/C93))</f>
        <v>3.4769267647966351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216</v>
      </c>
      <c r="E96" s="184" t="str">
        <f>E72</f>
        <v>Pessimistic Case</v>
      </c>
      <c r="F96" s="228" t="s">
        <v>243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104009994.79752003</v>
      </c>
      <c r="D97" s="214"/>
      <c r="E97" s="123">
        <f>PV(C94,D93,0,-F93)*Exchange_Rate</f>
        <v>3.6241850715272816</v>
      </c>
      <c r="F97" s="214"/>
      <c r="H97" s="123">
        <f>PV(C94,D93,0,-I93)*Exchange_Rate</f>
        <v>3.6241850715272816</v>
      </c>
      <c r="I97" s="123">
        <f>PV(C93,D93,0,-I93)*Exchange_Rate</f>
        <v>5.1490326074214572</v>
      </c>
      <c r="K97" s="24"/>
    </row>
    <row r="98" spans="2:11" ht="15" customHeight="1" x14ac:dyDescent="0.4">
      <c r="B98" s="28" t="s">
        <v>145</v>
      </c>
      <c r="C98" s="91">
        <f>E53*Exchange_Rate</f>
        <v>42282887.190000005</v>
      </c>
      <c r="D98" s="214"/>
      <c r="E98" s="214"/>
      <c r="F98" s="214"/>
      <c r="H98" s="123">
        <f>C98*Data!$C$4/Common_Shares</f>
        <v>1.4733296433038952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IF(H99&gt;0,H99*0.85,H99*1.15)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61727107.607520021</v>
      </c>
      <c r="D100" s="109">
        <f>MIN(F100*(1-C94),E100)</f>
        <v>1.8282271139898785</v>
      </c>
      <c r="E100" s="109">
        <f>MAX(E97-H98+E99,0)</f>
        <v>2.1508554282233865</v>
      </c>
      <c r="F100" s="109">
        <f>(E100+H100)/2</f>
        <v>2.1508554282233865</v>
      </c>
      <c r="H100" s="109">
        <f>MAX(C100*Data!$C$4/Common_Shares,0)</f>
        <v>2.1508554282233869</v>
      </c>
      <c r="I100" s="109">
        <f>MAX(I97-H98+H99,0)</f>
        <v>3.675702964117562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164</v>
      </c>
      <c r="C102" s="127" t="str">
        <f>C96</f>
        <v>HKD</v>
      </c>
      <c r="D102" s="124" t="s">
        <v>216</v>
      </c>
      <c r="E102" s="184" t="str">
        <f>E96</f>
        <v>Pessimistic Case</v>
      </c>
      <c r="F102" s="228" t="s">
        <v>243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163</v>
      </c>
      <c r="C103" s="91">
        <f>H103*Common_Shares/Data!C4</f>
        <v>53082922.683769308</v>
      </c>
      <c r="D103" s="109">
        <f>MIN(F103*(1-C94),E103)</f>
        <v>1.5722045354425844</v>
      </c>
      <c r="E103" s="123">
        <f>PV(C94,D93,0,-F94)*Exchange_Rate</f>
        <v>1.8496523946383348</v>
      </c>
      <c r="F103" s="109">
        <f>(E103+H103)/2</f>
        <v>1.8496523946383348</v>
      </c>
      <c r="H103" s="123">
        <f>PV(C94,D93,0,-I94)*Exchange_Rate</f>
        <v>1.8496523946383348</v>
      </c>
      <c r="I103" s="109">
        <f>PV(C93,D93,0,-I94)*Exchange_Rate</f>
        <v>2.6278791795735907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200</v>
      </c>
      <c r="C105" s="127" t="str">
        <f>C102</f>
        <v>HKD</v>
      </c>
      <c r="D105" s="124" t="s">
        <v>216</v>
      </c>
      <c r="E105" s="185" t="str">
        <f>E96</f>
        <v>Pessimistic Case</v>
      </c>
      <c r="F105" s="228" t="s">
        <v>243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201</v>
      </c>
      <c r="C106" s="91">
        <f>E106*Common_Shares/Data!C4</f>
        <v>57405015.14564465</v>
      </c>
      <c r="D106" s="109">
        <f>(D100+D103)/2</f>
        <v>1.7002158247162313</v>
      </c>
      <c r="E106" s="123">
        <f>(E100+E103)/2</f>
        <v>2.0002539114308604</v>
      </c>
      <c r="F106" s="109">
        <f>(F100+F103)/2</f>
        <v>2.0002539114308604</v>
      </c>
      <c r="H106" s="123">
        <f>(H100+H103)/2</f>
        <v>2.0002539114308608</v>
      </c>
      <c r="I106" s="123">
        <f>(I100+I103)/2</f>
        <v>3.1517910718455764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167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7" priority="8">
      <formula>LEN(TRIM(C108))=0</formula>
    </cfRule>
  </conditionalFormatting>
  <conditionalFormatting sqref="E74:E82 H74:H82 C86 C88">
    <cfRule type="containsBlanks" dxfId="6" priority="11">
      <formula>LEN(TRIM(C74))=0</formula>
    </cfRule>
  </conditionalFormatting>
  <conditionalFormatting sqref="E88">
    <cfRule type="containsBlanks" dxfId="5" priority="5">
      <formula>LEN(TRIM(E88))=0</formula>
    </cfRule>
  </conditionalFormatting>
  <conditionalFormatting sqref="F84">
    <cfRule type="containsBlanks" dxfId="4" priority="6">
      <formula>LEN(TRIM(F84))=0</formula>
    </cfRule>
  </conditionalFormatting>
  <conditionalFormatting sqref="H88">
    <cfRule type="containsBlanks" dxfId="2" priority="10">
      <formula>LEN(TRIM(H88))=0</formula>
    </cfRule>
  </conditionalFormatting>
  <conditionalFormatting sqref="I84">
    <cfRule type="containsBlanks" dxfId="1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2024-11-28T05:27:25Z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