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A181D38-2A1A-4A71-A97F-6864EC3DB49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97" i="3" l="1"/>
  <c r="H97" i="3"/>
  <c r="I103" i="3"/>
  <c r="B91" i="3" l="1"/>
  <c r="H103" i="3"/>
  <c r="I94" i="3"/>
  <c r="I93" i="3"/>
  <c r="E103" i="3"/>
  <c r="F94" i="3"/>
  <c r="F93" i="3"/>
  <c r="E97" i="3" s="1"/>
  <c r="E99" i="3"/>
  <c r="C97" i="4" l="1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E100" i="3"/>
  <c r="H87" i="3" l="1"/>
  <c r="I88" i="3"/>
  <c r="G25" i="1" s="1"/>
  <c r="G24" i="1"/>
  <c r="E106" i="3"/>
  <c r="C97" i="3" l="1"/>
  <c r="C100" i="3" s="1"/>
  <c r="H100" i="3" s="1"/>
  <c r="I100" i="3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<sst xmlns="http://schemas.openxmlformats.org/spreadsheetml/2006/main" count="390" uniqueCount="268">
  <si>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</si>
  <si>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</si>
  <si>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</si>
  <si>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</si>
  <si>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</si>
  <si>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</si>
  <si>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</si>
  <si>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</si>
  <si>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</si>
  <si>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</si>
  <si>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</si>
  <si>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</si>
  <si>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</si>
  <si>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</si>
  <si>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</si>
  <si>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</si>
  <si>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</si>
  <si>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</si>
  <si>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</si>
  <si>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</si>
  <si>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</si>
  <si>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</si>
  <si>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</si>
  <si>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</si>
  <si>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</si>
  <si>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</si>
  <si>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</si>
  <si>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</si>
  <si>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</si>
  <si>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</si>
  <si>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</si>
  <si>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</si>
  <si>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</si>
  <si>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</si>
  <si>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</si>
  <si>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</si>
  <si>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</si>
  <si>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</si>
  <si>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</si>
  <si>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</si>
  <si>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</si>
  <si>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</si>
  <si>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</si>
  <si>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</si>
  <si>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</si>
  <si>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</si>
  <si>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</si>
  <si>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</si>
  <si>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</si>
  <si>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</si>
  <si>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</si>
  <si>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</si>
  <si>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</si>
  <si>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</si>
  <si>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</si>
  <si>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</si>
  <si>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</si>
  <si>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</si>
  <si>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</si>
  <si>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</si>
  <si>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</si>
  <si>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</si>
  <si>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</si>
  <si>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</si>
  <si>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</si>
  <si>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</si>
  <si>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</si>
  <si>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</si>
  <si>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</si>
  <si>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</si>
  <si>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</si>
  <si>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</si>
  <si>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</si>
  <si>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</si>
  <si>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</si>
  <si>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</si>
  <si>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</si>
  <si>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</si>
  <si>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</si>
  <si>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</si>
  <si>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</si>
  <si>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</si>
  <si>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</si>
  <si>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</si>
  <si>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</si>
  <si>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</si>
  <si>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</si>
  <si>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</si>
  <si>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</si>
  <si>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</si>
  <si>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</si>
  <si>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</si>
  <si>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</si>
  <si>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</si>
  <si>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</si>
  <si>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</si>
  <si>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</si>
  <si>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</si>
  <si>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</si>
  <si>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</si>
  <si>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</si>
  <si>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</si>
  <si>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</si>
  <si>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</si>
  <si>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</si>
  <si>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</si>
  <si>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</si>
  <si>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</si>
  <si>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</si>
  <si>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</si>
  <si>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</si>
  <si>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</si>
  <si>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</si>
  <si>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</si>
  <si>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</si>
  <si>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</si>
  <si>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</si>
  <si>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</si>
  <si>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</si>
  <si>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</si>
  <si>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</si>
  <si>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</si>
  <si>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</si>
  <si>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</si>
  <si>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</si>
  <si>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</si>
  <si>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</si>
  <si>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</si>
  <si>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</si>
  <si>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</si>
  <si>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</si>
  <si>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</si>
  <si>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</si>
  <si>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</si>
  <si>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</si>
  <si>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</si>
  <si>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</si>
  <si>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</si>
  <si>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</si>
  <si>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</si>
  <si>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</si>
  <si>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</si>
  <si>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</si>
  <si>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</si>
  <si>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</si>
  <si>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</si>
  <si>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</si>
  <si>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</si>
  <si>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</si>
  <si>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</si>
  <si>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</si>
  <si>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</si>
  <si>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</si>
  <si>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</si>
  <si>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</si>
  <si>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</si>
  <si>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</si>
  <si>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</si>
  <si>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</si>
  <si>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</si>
  <si>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</si>
  <si>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</si>
  <si>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</si>
  <si>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</si>
  <si>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</si>
  <si>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</si>
  <si>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</si>
  <si>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</si>
  <si>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</si>
  <si>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</si>
  <si>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</si>
  <si>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</si>
  <si>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</si>
  <si>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</si>
  <si>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</si>
  <si>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</si>
  <si>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</si>
  <si>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</si>
  <si>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</si>
  <si>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</si>
  <si>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</si>
  <si>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</si>
  <si>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</si>
  <si>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</si>
  <si>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</si>
  <si>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</si>
  <si>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</si>
  <si>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</si>
  <si>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</si>
  <si>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</si>
  <si>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</si>
  <si>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</si>
  <si>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</si>
  <si>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</si>
  <si>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</si>
  <si>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</si>
  <si>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</si>
  <si>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</si>
  <si>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</si>
  <si>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</si>
  <si>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</si>
  <si>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</si>
  <si>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</si>
  <si>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</si>
  <si>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</si>
  <si>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</si>
  <si>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</si>
  <si>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</si>
  <si>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</si>
  <si>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</si>
  <si>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</si>
  <si>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</si>
  <si>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</si>
  <si>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</si>
  <si>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</si>
  <si>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</si>
  <si>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</si>
  <si>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</si>
  <si>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</si>
  <si>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</si>
  <si>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</si>
  <si>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</si>
  <si>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</si>
  <si>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</si>
  <si>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</si>
  <si>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</si>
  <si>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</si>
  <si>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</si>
  <si>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</si>
  <si>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</si>
  <si>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</si>
  <si>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</si>
  <si>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</si>
  <si>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</si>
  <si>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</si>
  <si>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</si>
  <si>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</si>
  <si>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</si>
  <si>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</si>
  <si>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</si>
  <si>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</si>
  <si>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</si>
  <si>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</si>
  <si>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</si>
  <si>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</si>
  <si>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</si>
  <si>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</si>
  <si>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</si>
  <si>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</si>
  <si>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</si>
  <si>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</si>
  <si>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</si>
  <si>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</si>
  <si>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</si>
  <si>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</si>
  <si>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</si>
  <si>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</si>
  <si>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</si>
  <si>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</si>
  <si>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</si>
  <si>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</si>
  <si>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</si>
  <si>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</si>
  <si>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</si>
  <si>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1910.HK</t>
  </si>
  <si>
    <t>SAMSONITE</t>
  </si>
  <si>
    <t>C0001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</si>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</sst>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8" zoomScaleNormal="100" workbookViewId="0">
      <selection activeCell="E72" sqref="E7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45591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1462217799</v>
      </c>
    </row>
    <row r="11" spans="1:4" ht="13.9" x14ac:dyDescent="0.4">
      <c r="B11" s="140" t="s">
        <v>220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4.30079753754707E-2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815.5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95.8</v>
      </c>
      <c r="D54" s="60">
        <v>0.1</v>
      </c>
      <c r="E54" s="112"/>
    </row>
    <row r="55" spans="2:5" ht="13.9" x14ac:dyDescent="0.4">
      <c r="B55" s="3" t="s">
        <v>47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1525.3</v>
      </c>
      <c r="D70" s="60">
        <v>0.05</v>
      </c>
      <c r="E70" s="112"/>
    </row>
    <row r="71" spans="2:5" ht="13.9" x14ac:dyDescent="0.4">
      <c r="B71" s="3" t="s">
        <v>75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949.6</v>
      </c>
      <c r="D72" s="249">
        <v>0</v>
      </c>
      <c r="E72" s="250"/>
    </row>
    <row r="73" spans="2:5" ht="13.9" x14ac:dyDescent="0.4">
      <c r="B73" s="3" t="s">
        <v>39</v>
      </c>
      <c r="C73" s="59">
        <v>92.8</v>
      </c>
    </row>
    <row r="74" spans="2:5" ht="13.9" x14ac:dyDescent="0.4">
      <c r="B74" s="3" t="s">
        <v>40</v>
      </c>
      <c r="C74" s="59">
        <v>126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1180.4000000000001</v>
      </c>
    </row>
    <row r="78" spans="2:5" ht="14.25" thickTop="1" x14ac:dyDescent="0.4">
      <c r="B78" s="3" t="s">
        <v>62</v>
      </c>
      <c r="C78" s="59">
        <v>1721</v>
      </c>
    </row>
    <row r="79" spans="2:5" ht="13.9" x14ac:dyDescent="0.4">
      <c r="B79" s="3" t="s">
        <v>64</v>
      </c>
      <c r="C79" s="59">
        <v>392.6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121.2</v>
      </c>
    </row>
    <row r="82" spans="2:8" ht="14.25" thickBot="1" x14ac:dyDescent="0.45">
      <c r="B82" s="80" t="s">
        <v>85</v>
      </c>
      <c r="C82" s="83">
        <v>2453.6999999999998</v>
      </c>
    </row>
    <row r="83" spans="2:8" ht="14.25" thickTop="1" x14ac:dyDescent="0.4">
      <c r="B83" s="73" t="s">
        <v>222</v>
      </c>
      <c r="C83" s="59">
        <v>1478.9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106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252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262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209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1910.HK</v>
      </c>
      <c r="D3" s="275"/>
      <c r="E3" s="87"/>
      <c r="F3" s="3" t="s">
        <v>1</v>
      </c>
      <c r="G3" s="132">
        <v>18.559999465942401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SAMSONITE</v>
      </c>
      <c r="D4" s="277"/>
      <c r="E4" s="87"/>
      <c r="F4" s="3" t="s">
        <v>3</v>
      </c>
      <c r="G4" s="280">
        <f>Inputs!C10</f>
        <v>1462217799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45591</v>
      </c>
      <c r="D5" s="279"/>
      <c r="E5" s="34"/>
      <c r="F5" s="35" t="s">
        <v>100</v>
      </c>
      <c r="G5" s="272">
        <f>G3*G4/1000000</f>
        <v>27138.76156853147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C0001</v>
      </c>
      <c r="E7" s="87"/>
      <c r="F7" s="35" t="s">
        <v>6</v>
      </c>
      <c r="G7" s="133">
        <v>7.78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0.40723441233977836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1.2057353899630675E-2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2.1706737368910969</v>
      </c>
    </row>
    <row r="24" spans="1:8" ht="15.75" customHeight="1" x14ac:dyDescent="0.4">
      <c r="B24" s="137" t="s">
        <v>171</v>
      </c>
      <c r="C24" s="172">
        <f>Fin_Analysis!I81</f>
        <v>4.6980230284597004E-2</v>
      </c>
      <c r="F24" s="140" t="s">
        <v>176</v>
      </c>
      <c r="G24" s="179">
        <f>(Fin_Analysis!H86*G7)/G3</f>
        <v>9.5914232984687153E-2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0.44840034723873545</v>
      </c>
    </row>
    <row r="26" spans="1:8" ht="15.75" customHeight="1" x14ac:dyDescent="0.4">
      <c r="B26" s="138" t="s">
        <v>174</v>
      </c>
      <c r="C26" s="172">
        <f>Fin_Analysis!I83</f>
        <v>0.12114381924831638</v>
      </c>
      <c r="F26" s="141" t="s">
        <v>195</v>
      </c>
      <c r="G26" s="179">
        <f>Fin_Analysis!H88*Exchange_Rate/G3</f>
        <v>4.30079753754707E-2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16.76139260878637</v>
      </c>
      <c r="D29" s="129">
        <f>G29*(1+G20)</f>
        <v>33.920051327645808</v>
      </c>
      <c r="E29" s="87"/>
      <c r="F29" s="131">
        <f>IF(Fin_Analysis!C108="Profit",Fin_Analysis!F100,IF(Fin_Analysis!C108="Dividend",Fin_Analysis!F103,Fin_Analysis!F106))</f>
        <v>19.719285422101613</v>
      </c>
      <c r="G29" s="271">
        <f>IF(Fin_Analysis!C108="Profit",Fin_Analysis!I100,IF(Fin_Analysis!C108="Dividend",Fin_Analysis!I103,Fin_Analysis!I106))</f>
        <v>29.495696806648532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8" zoomScaleNormal="100" workbookViewId="0">
      <selection activeCell="E92" sqref="E92:F9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-18230.938618312939</v>
      </c>
      <c r="E6" s="56">
        <f>1-D6/D3</f>
        <v>12.344703558377681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39</v>
      </c>
      <c r="I11" s="40">
        <f>Inputs!C73</f>
        <v>92.8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126</v>
      </c>
      <c r="J12" s="87"/>
      <c r="K12" s="24"/>
    </row>
    <row r="13" spans="1:11" ht="13.9" x14ac:dyDescent="0.4">
      <c r="B13" s="3" t="s">
        <v>117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16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1721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392.6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121.2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2.1706737368910969</v>
      </c>
      <c r="E53" s="88">
        <f>IF(C53=0,0,MAX(C53,C53*Dashboard!G23))</f>
        <v>278.06330569575027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2453.6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96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173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237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161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9.5914232984687153E-2</v>
      </c>
      <c r="D87" s="210"/>
      <c r="E87" s="263">
        <f>E86*Exchange_Rate/Dashboard!G3</f>
        <v>9.5914232984687153E-2</v>
      </c>
      <c r="F87" s="210"/>
      <c r="H87" s="263">
        <f>H86*Exchange_Rate/Dashboard!G3</f>
        <v>9.5914232984687153E-2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223</v>
      </c>
      <c r="C89" s="262">
        <f>C88*Exchange_Rate/Dashboard!G3</f>
        <v>4.30079753754707E-2</v>
      </c>
      <c r="D89" s="210"/>
      <c r="E89" s="262">
        <f>E88*Exchange_Rate/Dashboard!G3</f>
        <v>4.30079753754707E-2</v>
      </c>
      <c r="F89" s="210"/>
      <c r="H89" s="262">
        <f>H88*Exchange_Rate/Dashboard!G3</f>
        <v>4.30079753754707E-2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42.638303681128257</v>
      </c>
      <c r="H93" s="87" t="s">
        <v>211</v>
      </c>
      <c r="I93" s="144">
        <f>FV(H87,D93,0,-(H86/C93))*Exchange_Rate</f>
        <v>42.638303681128257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14.928671739386804</v>
      </c>
      <c r="H94" s="87" t="s">
        <v>212</v>
      </c>
      <c r="I94" s="144">
        <f>FV(H89,D93,0,-(H88/C93))*Exchange_Rate</f>
        <v>14.928671739386804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30997.222646071146</v>
      </c>
      <c r="D97" s="214"/>
      <c r="E97" s="123">
        <f>PV(C94,D93,0,-F93)</f>
        <v>21.198772622840401</v>
      </c>
      <c r="F97" s="214"/>
      <c r="H97" s="123">
        <f>PV(C94,D93,0,-I93)</f>
        <v>21.198772622840401</v>
      </c>
      <c r="I97" s="123">
        <f>PV(C93,D93,0,-I93)</f>
        <v>30.975184007387316</v>
      </c>
      <c r="K97" s="24"/>
    </row>
    <row r="98" spans="2:11" ht="15" customHeight="1" x14ac:dyDescent="0.4">
      <c r="B98" s="28" t="s">
        <v>145</v>
      </c>
      <c r="C98" s="91">
        <f>E53*Exchange_Rate</f>
        <v>2163.3325183129373</v>
      </c>
      <c r="D98" s="214"/>
      <c r="E98" s="214"/>
      <c r="F98" s="214"/>
      <c r="H98" s="123">
        <f>C98*Data!$C$4/Common_Shares</f>
        <v>1.4794872007387849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28833.890127758208</v>
      </c>
      <c r="D100" s="109">
        <f>MIN(F100*(1-C94),E100)</f>
        <v>16.76139260878637</v>
      </c>
      <c r="E100" s="109">
        <f>MAX(E97-H98+E99,0)</f>
        <v>19.719285422101617</v>
      </c>
      <c r="F100" s="109">
        <f>(E100+H100)/2</f>
        <v>19.719285422101613</v>
      </c>
      <c r="H100" s="109">
        <f>MAX(C100*Data!$C$4/Common_Shares,0)</f>
        <v>19.719285422101613</v>
      </c>
      <c r="I100" s="109">
        <f>MAX(I97-H98+H99,0)</f>
        <v>29.495696806648532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10852.855807223292</v>
      </c>
      <c r="D103" s="109">
        <f>MIN(F103*(1-C94),E103)</f>
        <v>6.308860036068948</v>
      </c>
      <c r="E103" s="123">
        <f>PV(C94,D93,0,-F94)</f>
        <v>7.422188277728174</v>
      </c>
      <c r="F103" s="109">
        <f>(E103+H103)/2</f>
        <v>7.422188277728174</v>
      </c>
      <c r="H103" s="123">
        <f>PV(C94,D93,0,-I94)</f>
        <v>7.422188277728174</v>
      </c>
      <c r="I103" s="109">
        <f>PV(C93,D93,0,-I94)</f>
        <v>10.845139562108232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19843.372967490752</v>
      </c>
      <c r="D106" s="109">
        <f>(D100+D103)/2</f>
        <v>11.535126322427658</v>
      </c>
      <c r="E106" s="123">
        <f>(E100+E103)/2</f>
        <v>13.570736849914896</v>
      </c>
      <c r="F106" s="109">
        <f>(F100+F103)/2</f>
        <v>13.570736849914894</v>
      </c>
      <c r="H106" s="123">
        <f>(H100+H103)/2</f>
        <v>13.570736849914894</v>
      </c>
      <c r="I106" s="123">
        <f>(I100+I103)/2</f>
        <v>20.170418184378381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