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31A9044-78A8-44F8-B572-A86C5B9337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<sst xmlns="http://schemas.openxmlformats.org/spreadsheetml/2006/main" count="391" uniqueCount="268">
  <si>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</si>
  <si>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</si>
  <si>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</si>
  <si>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</si>
  <si>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</si>
  <si>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</si>
  <si>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</si>
  <si>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</si>
  <si>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</si>
  <si>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</si>
  <si>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</si>
  <si>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</si>
  <si>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</si>
  <si>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</si>
  <si>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</si>
  <si>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</si>
  <si>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</si>
  <si>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</si>
  <si>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</si>
  <si>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</si>
  <si>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</si>
  <si>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</si>
  <si>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</si>
  <si>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</si>
  <si>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</si>
  <si>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</si>
  <si>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</si>
  <si>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</si>
  <si>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</si>
  <si>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</si>
  <si>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</si>
  <si>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</si>
  <si>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</si>
  <si>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</si>
  <si>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</si>
  <si>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</si>
  <si>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</si>
  <si>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</si>
  <si>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</si>
  <si>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</si>
  <si>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</si>
  <si>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</si>
  <si>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</si>
  <si>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</si>
  <si>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</si>
  <si>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</si>
  <si>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</si>
  <si>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</si>
  <si>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</si>
  <si>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</si>
  <si>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</si>
  <si>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</si>
  <si>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</si>
  <si>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</si>
  <si>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</si>
  <si>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</si>
  <si>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</si>
  <si>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</si>
  <si>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</si>
  <si>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</si>
  <si>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</si>
  <si>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</si>
  <si>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</si>
  <si>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</si>
  <si>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</si>
  <si>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</si>
  <si>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</si>
  <si>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</si>
  <si>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</si>
  <si>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</si>
  <si>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</si>
  <si>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</si>
  <si>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</si>
  <si>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</si>
  <si>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</si>
  <si>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</si>
  <si>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</si>
  <si>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</si>
  <si>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</si>
  <si>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</si>
  <si>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</si>
  <si>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</si>
  <si>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</si>
  <si>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</si>
  <si>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</si>
  <si>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</si>
  <si>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</si>
  <si>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</si>
  <si>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</si>
  <si>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</si>
  <si>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</si>
  <si>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</si>
  <si>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</si>
  <si>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</si>
  <si>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</si>
  <si>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</si>
  <si>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</si>
  <si>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</si>
  <si>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</si>
  <si>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</si>
  <si>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</si>
  <si>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</si>
  <si>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</si>
  <si>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</si>
  <si>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</si>
  <si>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</si>
  <si>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</si>
  <si>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</si>
  <si>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</si>
  <si>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</si>
  <si>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</si>
  <si>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</si>
  <si>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</si>
  <si>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</si>
  <si>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</si>
  <si>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</si>
  <si>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</si>
  <si>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</si>
  <si>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</si>
  <si>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</si>
  <si>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</si>
  <si>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</si>
  <si>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</si>
  <si>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</si>
  <si>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</si>
  <si>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</si>
  <si>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</si>
  <si>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</si>
  <si>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</si>
  <si>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</si>
  <si>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</si>
  <si>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</si>
  <si>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</si>
  <si>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</si>
  <si>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</si>
  <si>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</si>
  <si>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</si>
  <si>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</si>
  <si>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</si>
  <si>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</si>
  <si>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</si>
  <si>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</si>
  <si>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</si>
  <si>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</si>
  <si>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</si>
  <si>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</si>
  <si>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</si>
  <si>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</si>
  <si>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</si>
  <si>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</si>
  <si>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</si>
  <si>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</si>
  <si>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</si>
  <si>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</si>
  <si>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</si>
  <si>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</si>
  <si>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</si>
  <si>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</si>
  <si>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</si>
  <si>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</si>
  <si>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</si>
  <si>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</si>
  <si>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</si>
  <si>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</si>
  <si>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</si>
  <si>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</si>
  <si>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</si>
  <si>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</si>
  <si>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</si>
  <si>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</si>
  <si>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</si>
  <si>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</si>
  <si>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</si>
  <si>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</si>
  <si>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</si>
  <si>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</si>
  <si>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</si>
  <si>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</si>
  <si>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</si>
  <si>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</si>
  <si>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</si>
  <si>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</si>
  <si>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</si>
  <si>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</si>
  <si>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</si>
  <si>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</si>
  <si>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</si>
  <si>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</si>
  <si>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</si>
  <si>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</si>
  <si>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</si>
  <si>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</si>
  <si>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</si>
  <si>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</si>
  <si>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</si>
  <si>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</si>
  <si>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</si>
  <si>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</si>
  <si>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</si>
  <si>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</si>
  <si>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</si>
  <si>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</si>
  <si>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</si>
  <si>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</si>
  <si>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</si>
  <si>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</si>
  <si>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</si>
  <si>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</si>
  <si>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</si>
  <si>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</si>
  <si>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</si>
  <si>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</si>
  <si>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</si>
  <si>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</si>
  <si>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</si>
  <si>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</si>
  <si>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</si>
  <si>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</si>
  <si>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</si>
  <si>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</si>
  <si>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</si>
  <si>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</si>
  <si>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</si>
  <si>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</si>
  <si>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</si>
  <si>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</si>
  <si>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</si>
  <si>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</si>
  <si>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</si>
  <si>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</si>
  <si>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</si>
  <si>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</si>
  <si>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</si>
  <si>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</si>
  <si>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</si>
  <si>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</si>
  <si>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</si>
  <si>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</si>
  <si>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</si>
  <si>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</si>
  <si>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</si>
  <si>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</si>
  <si>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</si>
  <si>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</si>
  <si>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</si>
  <si>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</si>
  <si>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</si>
  <si>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</si>
  <si>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</si>
  <si>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</si>
  <si>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</si>
  <si>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</si>
  <si>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</si>
  <si>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</si>
  <si>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</si>
  <si>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</si>
  <si>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</si>
  <si>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</si>
  <si>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</si>
  <si>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</si>
  <si>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</si>
  <si>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</si>
  <si>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2888.HK</t>
  </si>
  <si>
    <t>Standard Chartered</t>
  </si>
  <si>
    <t>C0014</t>
  </si>
  <si>
    <t>USD</t>
  </si>
  <si>
    <t>UK Tax Rate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</si>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</sst>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20" sqref="D2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2454657755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191</v>
      </c>
    </row>
    <row r="16" spans="1:4" ht="13.9" x14ac:dyDescent="0.4">
      <c r="B16" s="223" t="s">
        <v>97</v>
      </c>
      <c r="C16" s="224">
        <v>0.23499999999999999</v>
      </c>
      <c r="D16" s="24" t="s">
        <v>266</v>
      </c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2.4856229628034118E-2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106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251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260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25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2888.HK</v>
      </c>
      <c r="D3" s="275"/>
      <c r="E3" s="87"/>
      <c r="F3" s="3" t="s">
        <v>1</v>
      </c>
      <c r="G3" s="132">
        <v>93.900001525878906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Standard Chartered</v>
      </c>
      <c r="D4" s="277"/>
      <c r="E4" s="87"/>
      <c r="F4" s="3" t="s">
        <v>3</v>
      </c>
      <c r="G4" s="280">
        <f>Inputs!C10</f>
        <v>2454657755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230492.36694001048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C0014</v>
      </c>
      <c r="E7" s="87"/>
      <c r="F7" s="35" t="s">
        <v>6</v>
      </c>
      <c r="G7" s="133">
        <v>7.78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3.4550297712315887E-2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0.50814791601378884</v>
      </c>
      <c r="F24" s="140" t="s">
        <v>176</v>
      </c>
      <c r="G24" s="179">
        <f>(Fin_Analysis!H86*G7)/G3</f>
        <v>0.15389720913939073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0.1615118933412292</v>
      </c>
    </row>
    <row r="26" spans="1:8" ht="15.75" customHeight="1" x14ac:dyDescent="0.4">
      <c r="B26" s="138" t="s">
        <v>174</v>
      </c>
      <c r="C26" s="172">
        <f>Fin_Analysis!I83</f>
        <v>0.15564608795570867</v>
      </c>
      <c r="F26" s="141" t="s">
        <v>195</v>
      </c>
      <c r="G26" s="179">
        <f>Fin_Analysis!H88*Exchange_Rate/G3</f>
        <v>2.4856229628034118E-2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16.896679516673746</v>
      </c>
      <c r="D29" s="129">
        <f>G29*(1+G20)</f>
        <v>33.402845112099186</v>
      </c>
      <c r="E29" s="87"/>
      <c r="F29" s="131">
        <f>IF(Fin_Analysis!C108="Profit",Fin_Analysis!F100,IF(Fin_Analysis!C108="Dividend",Fin_Analysis!F103,Fin_Analysis!F106))</f>
        <v>19.878446490204407</v>
      </c>
      <c r="G29" s="271">
        <f>IF(Fin_Analysis!C108="Profit",Fin_Analysis!I100,IF(Fin_Analysis!C108="Dividend",Fin_Analysis!I103,Fin_Analysis!I106))</f>
        <v>29.0459522713906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F95" sqref="F9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96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161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0.15389720913939078</v>
      </c>
      <c r="D87" s="210"/>
      <c r="E87" s="263">
        <f>E86*Exchange_Rate/Dashboard!G3</f>
        <v>0.15389720913939073</v>
      </c>
      <c r="F87" s="210"/>
      <c r="H87" s="263">
        <f>H86*Exchange_Rate/Dashboard!G3</f>
        <v>0.15389720913939073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223</v>
      </c>
      <c r="C89" s="262">
        <f>C88*Exchange_Rate/Dashboard!G3</f>
        <v>2.4856229628034118E-2</v>
      </c>
      <c r="D89" s="210"/>
      <c r="E89" s="262">
        <f>E88*Exchange_Rate/Dashboard!G3</f>
        <v>2.4856229628034118E-2</v>
      </c>
      <c r="F89" s="210"/>
      <c r="H89" s="262">
        <f>H88*Exchange_Rate/Dashboard!G3</f>
        <v>2.4856229628034118E-2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447.90717835860653</v>
      </c>
      <c r="H93" s="87" t="s">
        <v>211</v>
      </c>
      <c r="I93" s="144">
        <f>FV(H87,D93,0,-(H86/C93))*Exchange_Rate</f>
        <v>447.90717835860653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39.982656224406767</v>
      </c>
      <c r="H94" s="87" t="s">
        <v>212</v>
      </c>
      <c r="I94" s="144">
        <f>FV(H89,D93,0,-(H88/C93))*Exchange_Rate</f>
        <v>39.982656224406767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546625.35113650572</v>
      </c>
      <c r="D97" s="214"/>
      <c r="E97" s="123">
        <f>PV(C94,D93,0,-F93)</f>
        <v>222.68902865300083</v>
      </c>
      <c r="F97" s="214"/>
      <c r="H97" s="123">
        <f>PV(C94,D93,0,-I93)</f>
        <v>222.68902865300083</v>
      </c>
      <c r="I97" s="123">
        <f>PV(C93,D93,0,-I93)</f>
        <v>325.38834967836988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546625.35113650572</v>
      </c>
      <c r="D100" s="109">
        <f>MIN(F100*(1-C94),E100)</f>
        <v>189.2856743550507</v>
      </c>
      <c r="E100" s="109">
        <f>MAX(E97-H98+E99,0)</f>
        <v>222.68902865300083</v>
      </c>
      <c r="F100" s="109">
        <f>(E100+H100)/2</f>
        <v>222.68902865300083</v>
      </c>
      <c r="H100" s="109">
        <f>MAX(C100*Data!$C$4/Common_Shares,0)</f>
        <v>222.68902865300086</v>
      </c>
      <c r="I100" s="109">
        <f>MAX(I97-H98+H99,0)</f>
        <v>325.38834967836988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48794.782834532773</v>
      </c>
      <c r="D103" s="109">
        <f>MIN(F103*(1-C94),E103)</f>
        <v>16.896679516673746</v>
      </c>
      <c r="E103" s="123">
        <f>PV(C94,D93,0,-F94)</f>
        <v>19.878446490204407</v>
      </c>
      <c r="F103" s="109">
        <f>(E103+H103)/2</f>
        <v>19.878446490204407</v>
      </c>
      <c r="H103" s="123">
        <f>PV(C94,D93,0,-I94)</f>
        <v>19.878446490204407</v>
      </c>
      <c r="I103" s="109">
        <f>PV(C93,D93,0,-I94)</f>
        <v>29.0459522713906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297710.06698551925</v>
      </c>
      <c r="D106" s="109">
        <f>(D100+D103)/2</f>
        <v>103.09117693586222</v>
      </c>
      <c r="E106" s="123">
        <f>(E100+E103)/2</f>
        <v>121.28373757160261</v>
      </c>
      <c r="F106" s="109">
        <f>(F100+F103)/2</f>
        <v>121.28373757160261</v>
      </c>
      <c r="H106" s="123">
        <f>(H100+H103)/2</f>
        <v>121.28373757160263</v>
      </c>
      <c r="I106" s="123">
        <f>(I100+I103)/2</f>
        <v>177.21715097488024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