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7DC8526-7796-4573-8530-10EDF64E540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1" i="3" l="1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I103" i="3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<sst xmlns="http://schemas.openxmlformats.org/spreadsheetml/2006/main" count="390" uniqueCount="266">
  <si>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</si>
  <si>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</si>
  <si>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</si>
  <si>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</si>
  <si>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</si>
  <si>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</si>
  <si>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</si>
  <si>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</si>
  <si>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</si>
  <si>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</si>
  <si>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</si>
  <si>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</si>
  <si>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</si>
  <si>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</si>
  <si>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</si>
  <si>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</si>
  <si>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</si>
  <si>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</si>
  <si>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</si>
  <si>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</si>
  <si>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</si>
  <si>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</si>
  <si>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</si>
  <si>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</si>
  <si>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</si>
  <si>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</si>
  <si>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</si>
  <si>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</si>
  <si>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</si>
  <si>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</si>
  <si>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</si>
  <si>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</si>
  <si>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</si>
  <si>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</si>
  <si>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</si>
  <si>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</si>
  <si>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</si>
  <si>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</si>
  <si>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</si>
  <si>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</si>
  <si>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</si>
  <si>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</si>
  <si>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</si>
  <si>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</si>
  <si>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</si>
  <si>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</si>
  <si>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</si>
  <si>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</si>
  <si>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</si>
  <si>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</si>
  <si>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</si>
  <si>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</si>
  <si>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</si>
  <si>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</si>
  <si>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</si>
  <si>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</si>
  <si>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</si>
  <si>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</si>
  <si>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</si>
  <si>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</si>
  <si>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</si>
  <si>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</si>
  <si>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</si>
  <si>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</si>
  <si>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</si>
  <si>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</si>
  <si>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</si>
  <si>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</si>
  <si>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</si>
  <si>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</si>
  <si>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</si>
  <si>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</si>
  <si>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</si>
  <si>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</si>
  <si>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</si>
  <si>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</si>
  <si>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</si>
  <si>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</si>
  <si>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</si>
  <si>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</si>
  <si>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</si>
  <si>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</si>
  <si>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</si>
  <si>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</si>
  <si>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</si>
  <si>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</si>
  <si>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</si>
  <si>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</si>
  <si>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</si>
  <si>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</si>
  <si>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</si>
  <si>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</si>
  <si>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</si>
  <si>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</si>
  <si>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</si>
  <si>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</si>
  <si>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</si>
  <si>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</si>
  <si>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</si>
  <si>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</si>
  <si>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</si>
  <si>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</si>
  <si>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</si>
  <si>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</si>
  <si>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</si>
  <si>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</si>
  <si>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</si>
  <si>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</si>
  <si>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</si>
  <si>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</si>
  <si>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</si>
  <si>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</si>
  <si>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</si>
  <si>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</si>
  <si>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</si>
  <si>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</si>
  <si>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</si>
  <si>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</si>
  <si>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</si>
  <si>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</si>
  <si>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</si>
  <si>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</si>
  <si>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</si>
  <si>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</si>
  <si>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</si>
  <si>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</si>
  <si>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</si>
  <si>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</si>
  <si>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</si>
  <si>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</si>
  <si>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</si>
  <si>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</si>
  <si>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</si>
  <si>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</si>
  <si>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</si>
  <si>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</si>
  <si>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</si>
  <si>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</si>
  <si>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</si>
  <si>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</si>
  <si>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</si>
  <si>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</si>
  <si>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</si>
  <si>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</si>
  <si>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</si>
  <si>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</si>
  <si>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</si>
  <si>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</si>
  <si>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</si>
  <si>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</si>
  <si>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</si>
  <si>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</si>
  <si>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</si>
  <si>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</si>
  <si>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</si>
  <si>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</si>
  <si>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</si>
  <si>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</si>
  <si>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</si>
  <si>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</si>
  <si>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</si>
  <si>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</si>
  <si>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</si>
  <si>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</si>
  <si>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</si>
  <si>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</si>
  <si>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</si>
  <si>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</si>
  <si>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</si>
  <si>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</si>
  <si>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</si>
  <si>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</si>
  <si>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</si>
  <si>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</si>
  <si>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</si>
  <si>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</si>
  <si>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</si>
  <si>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</si>
  <si>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</si>
  <si>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</si>
  <si>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</si>
  <si>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</si>
  <si>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</si>
  <si>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</si>
  <si>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</si>
  <si>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</si>
  <si>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</si>
  <si>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</si>
  <si>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</si>
  <si>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</si>
  <si>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</si>
  <si>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</si>
  <si>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</si>
  <si>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</si>
  <si>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</si>
  <si>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</si>
  <si>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</si>
  <si>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</si>
  <si>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</si>
  <si>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</si>
  <si>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</si>
  <si>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</si>
  <si>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</si>
  <si>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</si>
  <si>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</si>
  <si>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</si>
  <si>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</si>
  <si>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</si>
  <si>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</si>
  <si>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</si>
  <si>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</si>
  <si>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</si>
  <si>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</si>
  <si>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</si>
  <si>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</si>
  <si>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</si>
  <si>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</si>
  <si>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</si>
  <si>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</si>
  <si>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</si>
  <si>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</si>
  <si>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</si>
  <si>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</si>
  <si>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</si>
  <si>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</si>
  <si>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</si>
  <si>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</si>
  <si>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</si>
  <si>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</si>
  <si>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</si>
  <si>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</si>
  <si>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</si>
  <si>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</si>
  <si>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</si>
  <si>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</si>
  <si>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</si>
  <si>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</si>
  <si>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</si>
  <si>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</si>
  <si>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</si>
  <si>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</si>
  <si>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</si>
  <si>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</si>
  <si>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</si>
  <si>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</si>
  <si>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</si>
  <si>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</si>
  <si>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</si>
  <si>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</si>
  <si>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</si>
  <si>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</si>
  <si>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</si>
  <si>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</si>
  <si>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</si>
  <si>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</si>
  <si>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</si>
  <si>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</si>
  <si>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</si>
  <si>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</si>
  <si>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</si>
  <si>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</si>
  <si>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6181.HK</t>
  </si>
  <si>
    <t>老鋪黃金</t>
  </si>
  <si>
    <t>CNY</t>
  </si>
  <si>
    <t>Unclear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</si>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</sst>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52" zoomScaleNormal="100" workbookViewId="0">
      <selection activeCell="F98" sqref="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261</v>
      </c>
    </row>
    <row r="5" spans="1:4" ht="13.9" x14ac:dyDescent="0.4">
      <c r="B5" s="141" t="s">
        <v>197</v>
      </c>
      <c r="C5" s="192" t="s">
        <v>262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245</v>
      </c>
    </row>
    <row r="10" spans="1:4" ht="13.9" x14ac:dyDescent="0.4">
      <c r="B10" s="140" t="s">
        <v>219</v>
      </c>
      <c r="C10" s="194">
        <v>168366700</v>
      </c>
    </row>
    <row r="11" spans="1:4" ht="13.9" x14ac:dyDescent="0.4">
      <c r="B11" s="140" t="s">
        <v>220</v>
      </c>
      <c r="C11" s="193" t="s">
        <v>263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258</v>
      </c>
      <c r="C15" s="177" t="s">
        <v>191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248</v>
      </c>
      <c r="D17" s="24"/>
    </row>
    <row r="18" spans="2:13" ht="13.9" x14ac:dyDescent="0.4">
      <c r="B18" s="241" t="s">
        <v>240</v>
      </c>
      <c r="C18" s="243" t="s">
        <v>248</v>
      </c>
      <c r="D18" s="24"/>
    </row>
    <row r="19" spans="2:13" ht="13.9" x14ac:dyDescent="0.4">
      <c r="B19" s="241" t="s">
        <v>241</v>
      </c>
      <c r="C19" s="243" t="s">
        <v>248</v>
      </c>
      <c r="D19" s="24"/>
    </row>
    <row r="20" spans="2:13" ht="13.9" x14ac:dyDescent="0.4">
      <c r="B20" s="242" t="s">
        <v>230</v>
      </c>
      <c r="C20" s="243" t="s">
        <v>248</v>
      </c>
      <c r="D20" s="24"/>
    </row>
    <row r="21" spans="2:13" ht="13.9" x14ac:dyDescent="0.4">
      <c r="B21" s="225" t="s">
        <v>233</v>
      </c>
      <c r="C21" s="243" t="s">
        <v>248</v>
      </c>
      <c r="D21" s="24"/>
    </row>
    <row r="22" spans="2:13" ht="78.75" x14ac:dyDescent="0.4">
      <c r="B22" s="227" t="s">
        <v>232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3179564</v>
      </c>
      <c r="D25" s="150">
        <v>1294220</v>
      </c>
      <c r="E25" s="150">
        <v>1264603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1847607</v>
      </c>
      <c r="D26" s="151">
        <v>752082</v>
      </c>
      <c r="E26" s="151">
        <v>743602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746918</v>
      </c>
      <c r="D27" s="151">
        <v>391294</v>
      </c>
      <c r="E27" s="151">
        <v>351556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10720</v>
      </c>
      <c r="D28" s="151">
        <v>8525</v>
      </c>
      <c r="E28" s="151">
        <v>8411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18182</v>
      </c>
      <c r="D29" s="151">
        <v>16973</v>
      </c>
      <c r="E29" s="151">
        <v>11671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>
        <v>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265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3179564</v>
      </c>
      <c r="D91" s="210"/>
      <c r="E91" s="252">
        <f>C91</f>
        <v>3179564</v>
      </c>
      <c r="F91" s="252">
        <f>C91</f>
        <v>3179564</v>
      </c>
    </row>
    <row r="92" spans="2:8" ht="13.9" x14ac:dyDescent="0.4">
      <c r="B92" s="104" t="s">
        <v>106</v>
      </c>
      <c r="C92" s="77">
        <f>C26</f>
        <v>1847607</v>
      </c>
      <c r="D92" s="160">
        <f>C92/C91</f>
        <v>0.58108816177312361</v>
      </c>
      <c r="E92" s="253">
        <f>E91*D92</f>
        <v>1847607</v>
      </c>
      <c r="F92" s="253">
        <f>F91*D92</f>
        <v>1847607</v>
      </c>
    </row>
    <row r="93" spans="2:8" ht="13.9" x14ac:dyDescent="0.4">
      <c r="B93" s="104" t="s">
        <v>250</v>
      </c>
      <c r="C93" s="77">
        <f>C27+C28</f>
        <v>757638</v>
      </c>
      <c r="D93" s="160">
        <f>C93/C91</f>
        <v>0.23828361372817153</v>
      </c>
      <c r="E93" s="253">
        <f>E91*D93</f>
        <v>757638</v>
      </c>
      <c r="F93" s="253">
        <f>F91*D93</f>
        <v>757638</v>
      </c>
    </row>
    <row r="94" spans="2:8" ht="13.9" x14ac:dyDescent="0.4">
      <c r="B94" s="104" t="s">
        <v>259</v>
      </c>
      <c r="C94" s="77">
        <f>C29</f>
        <v>18182</v>
      </c>
      <c r="D94" s="160">
        <f>C94/C91</f>
        <v>5.7183940942846252E-3</v>
      </c>
      <c r="E94" s="254"/>
      <c r="F94" s="253">
        <f>F91*D94</f>
        <v>18182</v>
      </c>
    </row>
    <row r="95" spans="2:8" ht="13.9" x14ac:dyDescent="0.4">
      <c r="B95" s="28" t="s">
        <v>249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4" sqref="C4:D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6181.HK</v>
      </c>
      <c r="D3" s="275"/>
      <c r="E3" s="87"/>
      <c r="F3" s="3" t="s">
        <v>1</v>
      </c>
      <c r="G3" s="132">
        <v>203.8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老鋪黃金</v>
      </c>
      <c r="D4" s="277"/>
      <c r="E4" s="87"/>
      <c r="F4" s="3" t="s">
        <v>3</v>
      </c>
      <c r="G4" s="280">
        <f>Inputs!C10</f>
        <v>168366700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34313.133460000005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0.58108816177312361</v>
      </c>
      <c r="F20" s="87" t="s">
        <v>213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0.23828361372817153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5.7183940942846252E-3</v>
      </c>
      <c r="F24" s="140" t="s">
        <v>176</v>
      </c>
      <c r="G24" s="179">
        <f>(Fin_Analysis!H86*G7)/G3</f>
        <v>1.3006679877262365E-2</v>
      </c>
    </row>
    <row r="25" spans="1:8" ht="15.75" customHeight="1" x14ac:dyDescent="0.4">
      <c r="B25" s="137" t="s">
        <v>246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0.17490983040442024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0" t="s">
        <v>260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1">
        <f>IF(Fin_Analysis!C108="Profit",Fin_Analysis!I100,IF(Fin_Analysis!C108="Dividend",Fin_Analysis!I103,Fin_Analysis!I106))</f>
        <v>0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3179564</v>
      </c>
      <c r="D6" s="201">
        <f>IF(Inputs!D25="","",Inputs!D25)</f>
        <v>1294220</v>
      </c>
      <c r="E6" s="201">
        <f>IF(Inputs!E25="","",Inputs!E25)</f>
        <v>1264603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1847607</v>
      </c>
      <c r="D8" s="200">
        <f>IF(Inputs!D26="","",Inputs!D26)</f>
        <v>752082</v>
      </c>
      <c r="E8" s="200">
        <f>IF(Inputs!E26="","",Inputs!E26)</f>
        <v>743602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1331957</v>
      </c>
      <c r="D9" s="152">
        <f t="shared" si="2"/>
        <v>542138</v>
      </c>
      <c r="E9" s="152">
        <f t="shared" si="2"/>
        <v>521001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746918</v>
      </c>
      <c r="D10" s="200">
        <f>IF(Inputs!D27="","",Inputs!D27)</f>
        <v>391294</v>
      </c>
      <c r="E10" s="200">
        <f>IF(Inputs!E27="","",Inputs!E27)</f>
        <v>351556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10720</v>
      </c>
      <c r="D11" s="200">
        <f>IF(Inputs!D28="","",Inputs!D28)</f>
        <v>8525</v>
      </c>
      <c r="E11" s="200">
        <f>IF(Inputs!E28="","",Inputs!E28)</f>
        <v>8411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0.18062822449870486</v>
      </c>
      <c r="D13" s="230">
        <f t="shared" si="3"/>
        <v>0.10996507548948402</v>
      </c>
      <c r="E13" s="230">
        <f t="shared" si="3"/>
        <v>0.12733956822813167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574319</v>
      </c>
      <c r="D14" s="231">
        <f t="shared" ref="D14:M14" si="4">IF(D6="","",D9-D10-MAX(D11,0)-MAX(D12,0))</f>
        <v>142319</v>
      </c>
      <c r="E14" s="231">
        <f t="shared" si="4"/>
        <v>161034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3.0354344816925356</v>
      </c>
      <c r="D15" s="233">
        <f t="shared" ref="D15:M15" si="5">IF(E14="","",IF(ABS(D14+E14)=ABS(D14)+ABS(E14),IF(D14&lt;0,-1,1)*(D14-E14)/E14,"Turn"))</f>
        <v>-0.11621769315796664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18182</v>
      </c>
      <c r="D17" s="200">
        <f>IF(Inputs!D29="","",Inputs!D29)</f>
        <v>16973</v>
      </c>
      <c r="E17" s="200">
        <f>IF(Inputs!E29="","",Inputs!E29)</f>
        <v>11671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556137</v>
      </c>
      <c r="D22" s="162">
        <f t="shared" ref="D22:M22" si="8">IF(D6="","",D14-MAX(D16,0)-MAX(D17,0)-ABS(MAX(D21,0)-MAX(D19,0)))</f>
        <v>125346</v>
      </c>
      <c r="E22" s="162">
        <f t="shared" si="8"/>
        <v>149363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0.13118237280331518</v>
      </c>
      <c r="D23" s="154">
        <f t="shared" si="9"/>
        <v>7.2637959543199765E-2</v>
      </c>
      <c r="E23" s="154">
        <f t="shared" si="9"/>
        <v>8.8582938677197506E-2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3.4368148963668563</v>
      </c>
      <c r="D25" s="234">
        <f t="shared" ref="D25:M25" si="10">IF(E24="","",IF(ABS(D24+E24)=ABS(D24)+ABS(E24),IF(D24&lt;0,-1,1)*(D24-E24)/E24,"Turn"))</f>
        <v>-0.16079618111580513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0.58108816177312361</v>
      </c>
      <c r="D42" s="157">
        <f t="shared" si="34"/>
        <v>0.58110831234256932</v>
      </c>
      <c r="E42" s="157">
        <f t="shared" si="34"/>
        <v>0.58801220620226269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0.23828361372817153</v>
      </c>
      <c r="D43" s="154">
        <f t="shared" si="35"/>
        <v>0.3089266121679467</v>
      </c>
      <c r="E43" s="154">
        <f t="shared" si="35"/>
        <v>0.28464822556960562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5.7183940942846252E-3</v>
      </c>
      <c r="D45" s="154">
        <f t="shared" si="37"/>
        <v>1.311446276521766E-2</v>
      </c>
      <c r="E45" s="154">
        <f t="shared" si="37"/>
        <v>9.2289833252016638E-3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0.17490983040442024</v>
      </c>
      <c r="D48" s="154">
        <f t="shared" si="40"/>
        <v>9.6850612724266358E-2</v>
      </c>
      <c r="E48" s="154">
        <f t="shared" si="40"/>
        <v>0.11811058490293001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3.2693383105242051E-2</v>
      </c>
      <c r="D55" s="154">
        <f t="shared" si="45"/>
        <v>0.13540918736936161</v>
      </c>
      <c r="E55" s="154">
        <f t="shared" si="45"/>
        <v>7.8138494807951098E-2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4" zoomScaleNormal="100" workbookViewId="0">
      <selection activeCell="E94" sqref="E94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3179564</v>
      </c>
      <c r="D74" s="210"/>
      <c r="E74" s="239">
        <f>Inputs!E91</f>
        <v>3179564</v>
      </c>
      <c r="F74" s="210"/>
      <c r="H74" s="239">
        <f>Inputs!F91</f>
        <v>3179564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1847607</v>
      </c>
      <c r="D75" s="160">
        <f>C75/$C$74</f>
        <v>0.58108816177312361</v>
      </c>
      <c r="E75" s="239">
        <f>Inputs!E92</f>
        <v>1847607</v>
      </c>
      <c r="F75" s="161">
        <f>E75/E74</f>
        <v>0.58108816177312361</v>
      </c>
      <c r="H75" s="239">
        <f>Inputs!F92</f>
        <v>1847607</v>
      </c>
      <c r="I75" s="161">
        <f>H75/$H$74</f>
        <v>0.58108816177312361</v>
      </c>
      <c r="K75" s="24"/>
    </row>
    <row r="76" spans="1:11" ht="15" customHeight="1" x14ac:dyDescent="0.4">
      <c r="B76" s="35" t="s">
        <v>96</v>
      </c>
      <c r="C76" s="162">
        <f>C74-C75</f>
        <v>1331957</v>
      </c>
      <c r="D76" s="211"/>
      <c r="E76" s="163">
        <f>E74-E75</f>
        <v>1331957</v>
      </c>
      <c r="F76" s="211"/>
      <c r="H76" s="163">
        <f>H74-H75</f>
        <v>1331957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757638</v>
      </c>
      <c r="D77" s="160">
        <f>C77/$C$74</f>
        <v>0.23828361372817153</v>
      </c>
      <c r="E77" s="239">
        <f>Inputs!E93</f>
        <v>757638</v>
      </c>
      <c r="F77" s="161">
        <f>E77/E74</f>
        <v>0.23828361372817153</v>
      </c>
      <c r="H77" s="239">
        <f>Inputs!F93</f>
        <v>757638</v>
      </c>
      <c r="I77" s="161">
        <f>H77/$H$74</f>
        <v>0.23828361372817153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574319</v>
      </c>
      <c r="D79" s="259">
        <f>C79/C74</f>
        <v>0.18062822449870486</v>
      </c>
      <c r="E79" s="260">
        <f>E76-E77-E78</f>
        <v>574319</v>
      </c>
      <c r="F79" s="259">
        <f>E79/E74</f>
        <v>0.18062822449870486</v>
      </c>
      <c r="G79" s="261"/>
      <c r="H79" s="260">
        <f>H76-H77-H78</f>
        <v>574319</v>
      </c>
      <c r="I79" s="259">
        <f>H79/H74</f>
        <v>0.18062822449870486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18182</v>
      </c>
      <c r="D81" s="160">
        <f>C81/$C$74</f>
        <v>5.7183940942846252E-3</v>
      </c>
      <c r="E81" s="181">
        <f>E74*F81</f>
        <v>18182</v>
      </c>
      <c r="F81" s="161">
        <f>I81</f>
        <v>5.7183940942846252E-3</v>
      </c>
      <c r="H81" s="239">
        <f>Inputs!F94</f>
        <v>18182</v>
      </c>
      <c r="I81" s="161">
        <f>H81/$H$74</f>
        <v>5.7183940942846252E-3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556137</v>
      </c>
      <c r="D83" s="165">
        <f>C83/$C$74</f>
        <v>0.17490983040442024</v>
      </c>
      <c r="E83" s="166">
        <f>E79-E81-E82-E80</f>
        <v>556137</v>
      </c>
      <c r="F83" s="165">
        <f>E83/E74</f>
        <v>0.17490983040442024</v>
      </c>
      <c r="H83" s="166">
        <f>H79-H81-H82-H80</f>
        <v>556137</v>
      </c>
      <c r="I83" s="165">
        <f>H83/$H$74</f>
        <v>0.17490983040442024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417102.75</v>
      </c>
      <c r="D85" s="259">
        <f>C85/$C$74</f>
        <v>0.13118237280331518</v>
      </c>
      <c r="E85" s="265">
        <f>E83*(1-F84)</f>
        <v>417102.75</v>
      </c>
      <c r="F85" s="259">
        <f>E85/E74</f>
        <v>0.13118237280331518</v>
      </c>
      <c r="G85" s="261"/>
      <c r="H85" s="265">
        <f>H83*(1-I84)</f>
        <v>417102.75</v>
      </c>
      <c r="I85" s="259">
        <f>H85/$H$74</f>
        <v>0.13118237280331518</v>
      </c>
      <c r="K85" s="24"/>
    </row>
    <row r="86" spans="1:11" ht="15" customHeight="1" x14ac:dyDescent="0.4">
      <c r="B86" s="87" t="s">
        <v>161</v>
      </c>
      <c r="C86" s="168">
        <f>C85*Data!C4/Common_Shares</f>
        <v>2.4773470644729629</v>
      </c>
      <c r="D86" s="210"/>
      <c r="E86" s="169">
        <f>E85*Data!C4/Common_Shares</f>
        <v>2.4773470644729629</v>
      </c>
      <c r="F86" s="210"/>
      <c r="H86" s="169">
        <f>H85*Data!C4/Common_Shares</f>
        <v>2.4773470644729629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1.3006679877262365E-2</v>
      </c>
      <c r="D87" s="210"/>
      <c r="E87" s="263">
        <f>E86*Exchange_Rate/Dashboard!G3</f>
        <v>1.3006679877262365E-2</v>
      </c>
      <c r="F87" s="210"/>
      <c r="H87" s="263">
        <f>H86*Exchange_Rate/Dashboard!G3</f>
        <v>1.3006679877262365E-2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42.843825456270423</v>
      </c>
      <c r="H93" s="87" t="s">
        <v>211</v>
      </c>
      <c r="I93" s="144">
        <f>FV(H87,D93,0,-(H86/C93))*Exchange_Rate</f>
        <v>42.843825456270423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3586371.2085938235</v>
      </c>
      <c r="D97" s="214"/>
      <c r="E97" s="123">
        <f>PV(C94,D93,0,-F93)</f>
        <v>21.300953268038295</v>
      </c>
      <c r="F97" s="214"/>
      <c r="H97" s="123">
        <f>PV(C94,D93,0,-I93)</f>
        <v>21.300953268038295</v>
      </c>
      <c r="I97" s="123">
        <f>PV(C93,D93,0,-I93)</f>
        <v>31.124488136607898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3586371.2085938235</v>
      </c>
      <c r="D100" s="109">
        <f>MIN(F100*(1-C94),E100)</f>
        <v>18.10581027783255</v>
      </c>
      <c r="E100" s="109">
        <f>MAX(E97-H98+E99,0)</f>
        <v>21.300953268038295</v>
      </c>
      <c r="F100" s="109">
        <f>(E100+H100)/2</f>
        <v>21.300953268038295</v>
      </c>
      <c r="H100" s="109">
        <f>MAX(C100*Data!$C$4/Common_Shares,0)</f>
        <v>21.300953268038295</v>
      </c>
      <c r="I100" s="109">
        <f>MAX(I97-H98+H99,0)</f>
        <v>31.124488136607898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1793185.6042969117</v>
      </c>
      <c r="D106" s="109">
        <f>(D100+D103)/2</f>
        <v>9.0529051389162749</v>
      </c>
      <c r="E106" s="123">
        <f>(E100+E103)/2</f>
        <v>10.650476634019148</v>
      </c>
      <c r="F106" s="109">
        <f>(F100+F103)/2</f>
        <v>10.650476634019148</v>
      </c>
      <c r="H106" s="123">
        <f>(H100+H103)/2</f>
        <v>10.650476634019148</v>
      </c>
      <c r="I106" s="123">
        <f>(I100+I103)/2</f>
        <v>15.562244068303949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2024-11-28T06:00:22Z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