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8AD696C4-F076-4B8E-8069-F3F3AB7AFF28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B91" i="3" l="1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<sst xmlns="http://schemas.openxmlformats.org/spreadsheetml/2006/main" count="390" uniqueCount="269">
  <si>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</si>
  <si>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</si>
  <si>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</si>
  <si>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</si>
  <si>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</si>
  <si>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</si>
  <si>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</si>
  <si>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</si>
  <si>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</si>
  <si>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</si>
  <si>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</si>
  <si>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</si>
  <si>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</si>
  <si>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</si>
  <si>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</si>
  <si>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</si>
  <si>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</si>
  <si>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</si>
  <si>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</si>
  <si>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</si>
  <si>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</si>
  <si>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</si>
  <si>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</si>
  <si>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</si>
  <si>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</si>
  <si>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</si>
  <si>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</si>
  <si>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</si>
  <si>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</si>
  <si>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</si>
  <si>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</si>
  <si>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</si>
  <si>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</si>
  <si>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</si>
  <si>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</si>
  <si>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</si>
  <si>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</si>
  <si>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</si>
  <si>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</si>
  <si>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</si>
  <si>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</si>
  <si>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</si>
  <si>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</si>
  <si>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</si>
  <si>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</si>
  <si>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</si>
  <si>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</si>
  <si>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</si>
  <si>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</si>
  <si>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</si>
  <si>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</si>
  <si>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</si>
  <si>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</si>
  <si>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</si>
  <si>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</si>
  <si>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</si>
  <si>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</si>
  <si>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</si>
  <si>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</si>
  <si>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</si>
  <si>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</si>
  <si>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</si>
  <si>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</si>
  <si>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</si>
  <si>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</si>
  <si>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</si>
  <si>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</si>
  <si>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</si>
  <si>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</si>
  <si>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</si>
  <si>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</si>
  <si>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</si>
  <si>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</si>
  <si>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</si>
  <si>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</si>
  <si>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</si>
  <si>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</si>
  <si>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</si>
  <si>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</si>
  <si>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</si>
  <si>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</si>
  <si>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</si>
  <si>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</si>
  <si>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</si>
  <si>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</si>
  <si>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</si>
  <si>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</si>
  <si>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</si>
  <si>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</si>
  <si>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</si>
  <si>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</si>
  <si>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</si>
  <si>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</si>
  <si>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</si>
  <si>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</si>
  <si>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</si>
  <si>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</si>
  <si>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</si>
  <si>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</si>
  <si>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</si>
  <si>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</si>
  <si>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</si>
  <si>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</si>
  <si>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</si>
  <si>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</si>
  <si>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</si>
  <si>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</si>
  <si>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</si>
  <si>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</si>
  <si>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</si>
  <si>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</si>
  <si>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</si>
  <si>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</si>
  <si>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</si>
  <si>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</si>
  <si>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</si>
  <si>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</si>
  <si>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</si>
  <si>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</si>
  <si>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</si>
  <si>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</si>
  <si>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</si>
  <si>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</si>
  <si>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</si>
  <si>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</si>
  <si>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</si>
  <si>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</si>
  <si>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</si>
  <si>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</si>
  <si>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</si>
  <si>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</si>
  <si>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</si>
  <si>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</si>
  <si>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</si>
  <si>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</si>
  <si>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</si>
  <si>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</si>
  <si>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</si>
  <si>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</si>
  <si>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</si>
  <si>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</si>
  <si>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</si>
  <si>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</si>
  <si>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</si>
  <si>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</si>
  <si>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</si>
  <si>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</si>
  <si>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</si>
  <si>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</si>
  <si>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</si>
  <si>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</si>
  <si>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</si>
  <si>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</si>
  <si>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</si>
  <si>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</si>
  <si>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</si>
  <si>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</si>
  <si>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</si>
  <si>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</si>
  <si>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</si>
  <si>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</si>
  <si>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</si>
  <si>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</si>
  <si>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</si>
  <si>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</si>
  <si>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</si>
  <si>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</si>
  <si>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</si>
  <si>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</si>
  <si>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</si>
  <si>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</si>
  <si>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</si>
  <si>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</si>
  <si>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</si>
  <si>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</si>
  <si>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</si>
  <si>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</si>
  <si>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</si>
  <si>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</si>
  <si>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</si>
  <si>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</si>
  <si>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</si>
  <si>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</si>
  <si>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</si>
  <si>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</si>
  <si>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</si>
  <si>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</si>
  <si>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</si>
  <si>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</si>
  <si>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</si>
  <si>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</si>
  <si>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</si>
  <si>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</si>
  <si>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</si>
  <si>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</si>
  <si>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</si>
  <si>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</si>
  <si>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</si>
  <si>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</si>
  <si>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</si>
  <si>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</si>
  <si>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</si>
  <si>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</si>
  <si>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</si>
  <si>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</si>
  <si>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</si>
  <si>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</si>
  <si>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</si>
  <si>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</si>
  <si>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</si>
  <si>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</si>
  <si>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</si>
  <si>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</si>
  <si>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</si>
  <si>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</si>
  <si>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</si>
  <si>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</si>
  <si>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</si>
  <si>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</si>
  <si>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</si>
  <si>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</si>
  <si>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</si>
  <si>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</si>
  <si>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</si>
  <si>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</si>
  <si>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</si>
  <si>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</si>
  <si>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</si>
  <si>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</si>
  <si>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</si>
  <si>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</si>
  <si>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</si>
  <si>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</si>
  <si>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</si>
  <si>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</si>
  <si>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</si>
  <si>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</si>
  <si>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</si>
  <si>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</si>
  <si>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</si>
  <si>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</si>
  <si>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</si>
  <si>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</si>
  <si>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</si>
  <si>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</si>
  <si>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</si>
  <si>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</si>
  <si>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</si>
  <si>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</si>
  <si>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</si>
  <si>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</si>
  <si>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</si>
  <si>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</si>
  <si>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</si>
  <si>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</si>
  <si>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</si>
  <si>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</si>
  <si>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</si>
  <si>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</si>
  <si>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</si>
  <si>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</si>
  <si>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</si>
  <si>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6186.HK</t>
  </si>
  <si>
    <t>中国飞鹤</t>
  </si>
  <si>
    <t>C0002</t>
  </si>
  <si>
    <t>CNY</t>
  </si>
  <si>
    <t>CN</t>
  </si>
  <si>
    <t>disagree</t>
  </si>
  <si>
    <t>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</si>
</sst>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82" zoomScaleNormal="100" workbookViewId="0">
      <selection activeCell="F98" sqref="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71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9067251704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248</v>
      </c>
      <c r="D17" s="24"/>
    </row>
    <row r="18" spans="2:13" ht="13.9" x14ac:dyDescent="0.4">
      <c r="B18" s="241" t="s">
        <v>241</v>
      </c>
      <c r="C18" s="243" t="s">
        <v>248</v>
      </c>
      <c r="D18" s="24"/>
    </row>
    <row r="19" spans="2:13" ht="13.9" x14ac:dyDescent="0.4">
      <c r="B19" s="241" t="s">
        <v>242</v>
      </c>
      <c r="C19" s="243" t="s">
        <v>233</v>
      </c>
      <c r="D19" s="24"/>
    </row>
    <row r="20" spans="2:13" ht="13.9" x14ac:dyDescent="0.4">
      <c r="B20" s="242" t="s">
        <v>230</v>
      </c>
      <c r="C20" s="243" t="s">
        <v>248</v>
      </c>
      <c r="D20" s="24"/>
    </row>
    <row r="21" spans="2:13" ht="13.9" x14ac:dyDescent="0.4">
      <c r="B21" s="225" t="s">
        <v>234</v>
      </c>
      <c r="C21" s="243" t="s">
        <v>267</v>
      </c>
      <c r="D21" s="24"/>
    </row>
    <row r="22" spans="2:13" ht="78.75" x14ac:dyDescent="0.4">
      <c r="B22" s="227" t="s">
        <v>232</v>
      </c>
      <c r="C22" s="244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6.2087897040110994E-2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252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19073030</v>
      </c>
      <c r="D48" s="60">
        <v>0.9</v>
      </c>
      <c r="E48" s="112"/>
    </row>
    <row r="49" spans="2:5" ht="13.9" x14ac:dyDescent="0.4">
      <c r="B49" s="1" t="s">
        <v>136</v>
      </c>
      <c r="C49" s="59">
        <v>20972</v>
      </c>
      <c r="D49" s="60">
        <v>0.8</v>
      </c>
      <c r="E49" s="112"/>
    </row>
    <row r="50" spans="2:5" ht="13.9" x14ac:dyDescent="0.4">
      <c r="B50" s="3" t="s">
        <v>117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854264</v>
      </c>
      <c r="D54" s="60">
        <v>0.1</v>
      </c>
      <c r="E54" s="112"/>
    </row>
    <row r="55" spans="2:5" ht="13.9" x14ac:dyDescent="0.4">
      <c r="B55" s="3" t="s">
        <v>47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63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113569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>
        <v>45190</v>
      </c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73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74</v>
      </c>
      <c r="C70" s="59">
        <v>15244</v>
      </c>
      <c r="D70" s="60">
        <v>0.05</v>
      </c>
      <c r="E70" s="112"/>
    </row>
    <row r="71" spans="2:5" ht="13.9" x14ac:dyDescent="0.4">
      <c r="B71" s="3" t="s">
        <v>75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112402</v>
      </c>
      <c r="D72" s="249">
        <v>0</v>
      </c>
      <c r="E72" s="250"/>
    </row>
    <row r="73" spans="2:5" ht="13.9" x14ac:dyDescent="0.4">
      <c r="B73" s="3" t="s">
        <v>39</v>
      </c>
      <c r="C73" s="59">
        <v>510909</v>
      </c>
    </row>
    <row r="74" spans="2:5" ht="13.9" x14ac:dyDescent="0.4">
      <c r="B74" s="3" t="s">
        <v>40</v>
      </c>
      <c r="C74" s="59">
        <v>28807</v>
      </c>
    </row>
    <row r="75" spans="2:5" ht="13.9" x14ac:dyDescent="0.4">
      <c r="B75" s="3" t="s">
        <v>41</v>
      </c>
      <c r="C75" s="59">
        <v>0</v>
      </c>
    </row>
    <row r="76" spans="2:5" ht="13.9" x14ac:dyDescent="0.4">
      <c r="B76" s="86" t="s">
        <v>43</v>
      </c>
      <c r="C76" s="120">
        <v>9668</v>
      </c>
    </row>
    <row r="77" spans="2:5" ht="14.25" thickBot="1" x14ac:dyDescent="0.45">
      <c r="B77" s="80" t="s">
        <v>16</v>
      </c>
      <c r="C77" s="83">
        <v>6712617</v>
      </c>
    </row>
    <row r="78" spans="2:5" ht="14.25" thickTop="1" x14ac:dyDescent="0.4">
      <c r="B78" s="3" t="s">
        <v>62</v>
      </c>
      <c r="C78" s="59">
        <v>756896</v>
      </c>
    </row>
    <row r="79" spans="2:5" ht="13.9" x14ac:dyDescent="0.4">
      <c r="B79" s="3" t="s">
        <v>64</v>
      </c>
      <c r="C79" s="59">
        <v>52067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1852861</v>
      </c>
    </row>
    <row r="83" spans="2:8" ht="14.25" thickTop="1" x14ac:dyDescent="0.4">
      <c r="B83" s="73" t="s">
        <v>222</v>
      </c>
      <c r="C83" s="59">
        <v>25617273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8">
        <v>5</v>
      </c>
    </row>
    <row r="87" spans="2:8" ht="13.9" x14ac:dyDescent="0.4">
      <c r="B87" s="10" t="s">
        <v>251</v>
      </c>
      <c r="C87" s="237" t="s">
        <v>254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106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250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260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249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D6" sqref="D6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6186.HK</v>
      </c>
      <c r="D3" s="275"/>
      <c r="E3" s="87"/>
      <c r="F3" s="3" t="s">
        <v>1</v>
      </c>
      <c r="G3" s="132">
        <v>5.3699998855590803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中国飞鹤</v>
      </c>
      <c r="D4" s="277"/>
      <c r="E4" s="87"/>
      <c r="F4" s="3" t="s">
        <v>3</v>
      </c>
      <c r="G4" s="280">
        <f>Inputs!C10</f>
        <v>9067251704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48691.140612815376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N</v>
      </c>
      <c r="D7" s="188" t="str">
        <f>Inputs!C9</f>
        <v>C0002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0.35166796085418528</v>
      </c>
      <c r="F20" s="87" t="s">
        <v>213</v>
      </c>
      <c r="G20" s="173">
        <v>0.15</v>
      </c>
    </row>
    <row r="21" spans="1:8" ht="15.75" customHeight="1" x14ac:dyDescent="0.4">
      <c r="B21" s="137" t="s">
        <v>247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1.6826738616300516</v>
      </c>
    </row>
    <row r="24" spans="1:8" ht="15.75" customHeight="1" x14ac:dyDescent="0.4">
      <c r="B24" s="137" t="s">
        <v>171</v>
      </c>
      <c r="C24" s="172">
        <f>Fin_Analysis!I81</f>
        <v>2.7202256703967287E-3</v>
      </c>
      <c r="F24" s="140" t="s">
        <v>176</v>
      </c>
      <c r="G24" s="179">
        <f>(Fin_Analysis!H86*G7)/G3</f>
        <v>6.6556050376175804E-2</v>
      </c>
    </row>
    <row r="25" spans="1:8" ht="15.75" customHeight="1" x14ac:dyDescent="0.4">
      <c r="B25" s="137" t="s">
        <v>246</v>
      </c>
      <c r="C25" s="172">
        <f>Fin_Analysis!I82</f>
        <v>0</v>
      </c>
      <c r="F25" s="140" t="s">
        <v>175</v>
      </c>
      <c r="G25" s="172">
        <f>Fin_Analysis!I88</f>
        <v>0.93286630876064991</v>
      </c>
    </row>
    <row r="26" spans="1:8" ht="15.75" customHeight="1" x14ac:dyDescent="0.4">
      <c r="B26" s="138" t="s">
        <v>174</v>
      </c>
      <c r="C26" s="172">
        <f>Fin_Analysis!I83</f>
        <v>0.2067479536230501</v>
      </c>
      <c r="F26" s="141" t="s">
        <v>195</v>
      </c>
      <c r="G26" s="179">
        <f>Fin_Analysis!H88*Exchange_Rate/G3</f>
        <v>6.2087897040110994E-2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240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3.7151922299881703</v>
      </c>
      <c r="D29" s="129">
        <f>G29*(1+G20)</f>
        <v>6.7908571189758842</v>
      </c>
      <c r="E29" s="87"/>
      <c r="F29" s="131">
        <f>IF(Fin_Analysis!C108="Profit",Fin_Analysis!F100,IF(Fin_Analysis!C108="Dividend",Fin_Analysis!F103,Fin_Analysis!F106))</f>
        <v>4.370814388221377</v>
      </c>
      <c r="G29" s="271">
        <f>IF(Fin_Analysis!C108="Profit",Fin_Analysis!I100,IF(Fin_Analysis!C108="Dividend",Fin_Analysis!I103,Fin_Analysis!I106))</f>
        <v>5.9050931469355517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unclear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241</v>
      </c>
      <c r="C36" s="246" t="str">
        <f>Inputs!C18</f>
        <v>unclear</v>
      </c>
    </row>
    <row r="37" spans="1:3" ht="15.75" customHeight="1" x14ac:dyDescent="0.4">
      <c r="A37"/>
      <c r="B37" s="20" t="s">
        <v>242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unclear</v>
      </c>
    </row>
    <row r="40" spans="1:3" ht="15.75" customHeight="1" x14ac:dyDescent="0.4">
      <c r="A40"/>
      <c r="B40" s="1" t="s">
        <v>234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243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244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236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245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238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237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239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25617273</v>
      </c>
      <c r="K3" s="24"/>
    </row>
    <row r="4" spans="1:11" ht="15" customHeight="1" x14ac:dyDescent="0.4">
      <c r="B4" s="3" t="s">
        <v>25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3.3364014362803656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9664696.9893597718</v>
      </c>
      <c r="E6" s="56">
        <f>1-D6/D3</f>
        <v>0.64262676750048464</v>
      </c>
      <c r="F6" s="87"/>
      <c r="G6" s="87"/>
      <c r="H6" s="1" t="s">
        <v>30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1.140502780357685</v>
      </c>
      <c r="E7" s="11" t="str">
        <f>Dashboard!H3</f>
        <v>HKD</v>
      </c>
      <c r="H7" s="1" t="s">
        <v>31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39</v>
      </c>
      <c r="I11" s="40">
        <f>Inputs!C73</f>
        <v>510909</v>
      </c>
      <c r="J11" s="87"/>
      <c r="K11" s="24"/>
    </row>
    <row r="12" spans="1:11" ht="13.9" x14ac:dyDescent="0.4">
      <c r="B12" s="1" t="s">
        <v>136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40</v>
      </c>
      <c r="I12" s="40">
        <f>Inputs!C74</f>
        <v>28807</v>
      </c>
      <c r="J12" s="87"/>
      <c r="K12" s="24"/>
    </row>
    <row r="13" spans="1:11" ht="13.9" x14ac:dyDescent="0.4">
      <c r="B13" s="3" t="s">
        <v>117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9668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549384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55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56</v>
      </c>
      <c r="I25" s="63">
        <f>E28/I28</f>
        <v>2.7593765144056333</v>
      </c>
    </row>
    <row r="26" spans="2:10" ht="15" customHeight="1" x14ac:dyDescent="0.4">
      <c r="B26" s="23" t="s">
        <v>57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58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16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756896</v>
      </c>
      <c r="J30" s="87"/>
    </row>
    <row r="31" spans="2:10" ht="15" customHeight="1" x14ac:dyDescent="0.4">
      <c r="B31" s="3" t="s">
        <v>63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64</v>
      </c>
      <c r="I31" s="40">
        <f>Inputs!C79</f>
        <v>52067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808963</v>
      </c>
      <c r="J34" s="87"/>
    </row>
    <row r="35" spans="2:10" ht="13.9" x14ac:dyDescent="0.4">
      <c r="B35" s="3" t="s">
        <v>70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81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83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85</v>
      </c>
      <c r="I48" s="208">
        <f>Inputs!C82</f>
        <v>1852861</v>
      </c>
      <c r="J48" s="8"/>
    </row>
    <row r="49" spans="2:11" ht="15" customHeight="1" thickTop="1" x14ac:dyDescent="0.4">
      <c r="B49" s="3" t="s">
        <v>14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86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1426434</v>
      </c>
      <c r="D53" s="29">
        <f>IF(E53=0, 0,E53/C53)</f>
        <v>1.6826738616300516</v>
      </c>
      <c r="E53" s="88">
        <f>IF(C53=0,0,MAX(C53,C53*Dashboard!G23))</f>
        <v>2400223.207140401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1358347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106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96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250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235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161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6.6556050376175804E-2</v>
      </c>
      <c r="D87" s="210"/>
      <c r="E87" s="263">
        <f>E86*Exchange_Rate/Dashboard!G3</f>
        <v>6.6556050376175804E-2</v>
      </c>
      <c r="F87" s="210"/>
      <c r="H87" s="263">
        <f>H86*Exchange_Rate/Dashboard!G3</f>
        <v>6.6556050376175804E-2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223</v>
      </c>
      <c r="C89" s="262">
        <f>C88*Exchange_Rate/Dashboard!G3</f>
        <v>6.2087897040110994E-2</v>
      </c>
      <c r="D89" s="210"/>
      <c r="E89" s="262">
        <f>E88*Exchange_Rate/Dashboard!G3</f>
        <v>6.2087897040110994E-2</v>
      </c>
      <c r="F89" s="210"/>
      <c r="H89" s="262">
        <f>H88*Exchange_Rate/Dashboard!G3</f>
        <v>6.2087897040110994E-2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6.8509017680759223</v>
      </c>
      <c r="H93" s="87" t="s">
        <v>211</v>
      </c>
      <c r="I93" s="144">
        <f>FV(H87,D93,0,-(H86/C93))*Exchange_Rate</f>
        <v>6.8509017680759223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6.2582229330455306</v>
      </c>
      <c r="H94" s="87" t="s">
        <v>212</v>
      </c>
      <c r="I94" s="144">
        <f>FV(H89,D93,0,-(H88/C93))*Exchange_Rate</f>
        <v>6.2582229330455306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240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30884047.406683229</v>
      </c>
      <c r="D97" s="214"/>
      <c r="E97" s="123">
        <f>PV(C94,D93,0,-F93)</f>
        <v>3.4061089749012692</v>
      </c>
      <c r="F97" s="214"/>
      <c r="H97" s="123">
        <f>PV(C94,D93,0,-I93)</f>
        <v>3.4061089749012692</v>
      </c>
      <c r="I97" s="123">
        <f>PV(C93,D93,0,-I93)</f>
        <v>4.8392026980031355</v>
      </c>
      <c r="K97" s="24"/>
    </row>
    <row r="98" spans="2:11" ht="15" customHeight="1" x14ac:dyDescent="0.4">
      <c r="B98" s="28" t="s">
        <v>145</v>
      </c>
      <c r="C98" s="91">
        <f>E53*Exchange_Rate</f>
        <v>2568238.8316402291</v>
      </c>
      <c r="D98" s="214"/>
      <c r="E98" s="214"/>
      <c r="F98" s="214"/>
      <c r="H98" s="123">
        <f>C98*Data!$C$4/Common_Shares</f>
        <v>0.28324335923169042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12232935.821000002</v>
      </c>
      <c r="D99" s="215"/>
      <c r="E99" s="146">
        <f>IF(H99&gt;0,H99*(1-C94),H99*(1+C94))</f>
        <v>1.1467637369394903</v>
      </c>
      <c r="F99" s="215"/>
      <c r="H99" s="146">
        <f>C99*Data!$C$4/Common_Shares</f>
        <v>1.3491338081641062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40548744.396043003</v>
      </c>
      <c r="D100" s="109">
        <f>MIN(F100*(1-C94),E100)</f>
        <v>3.7151922299881703</v>
      </c>
      <c r="E100" s="109">
        <f>MAX(E97-H98+E99,0)</f>
        <v>4.2696293526090692</v>
      </c>
      <c r="F100" s="109">
        <f>(E100+H100)/2</f>
        <v>4.370814388221377</v>
      </c>
      <c r="H100" s="109">
        <f>MAX(C100*Data!$C$4/Common_Shares,0)</f>
        <v>4.4719994238336849</v>
      </c>
      <c r="I100" s="109">
        <f>MAX(I97-H98+H99,0)</f>
        <v>5.9050931469355517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240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28212235.452918023</v>
      </c>
      <c r="D103" s="109">
        <f>MIN(F103*(1-C94),E103)</f>
        <v>2.6447264196273954</v>
      </c>
      <c r="E103" s="123">
        <f>PV(C94,D93,0,-F94)</f>
        <v>3.1114428466204651</v>
      </c>
      <c r="F103" s="109">
        <f>(E103+H103)/2</f>
        <v>3.1114428466204651</v>
      </c>
      <c r="H103" s="123">
        <f>PV(C94,D93,0,-I94)</f>
        <v>3.1114428466204651</v>
      </c>
      <c r="I103" s="109">
        <f>PV(C93,D93,0,-I94)</f>
        <v>4.420558099872526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240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33463019.73790551</v>
      </c>
      <c r="D106" s="109">
        <f>(D100+D103)/2</f>
        <v>3.1799593248077827</v>
      </c>
      <c r="E106" s="123">
        <f>(E100+E103)/2</f>
        <v>3.6905360996147669</v>
      </c>
      <c r="F106" s="109">
        <f>(F100+F103)/2</f>
        <v>3.7411286174209213</v>
      </c>
      <c r="H106" s="123">
        <f>(H100+H103)/2</f>
        <v>3.7917211352270748</v>
      </c>
      <c r="I106" s="123">
        <f>(I100+I103)/2</f>
        <v>5.1628256234040393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2024-11-28T06:05:24Z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