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5C92E73-6957-46A7-98B1-4F0C25739ED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1" i="3" l="1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<sst xmlns="http://schemas.openxmlformats.org/spreadsheetml/2006/main" count="390" uniqueCount="269">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</sst>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5" zoomScaleNormal="100" workbookViewId="0">
      <selection activeCell="D60" sqref="D6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260</v>
      </c>
    </row>
    <row r="5" spans="1:4" ht="13.9" x14ac:dyDescent="0.4">
      <c r="B5" s="141" t="s">
        <v>197</v>
      </c>
      <c r="C5" s="192" t="s">
        <v>261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262</v>
      </c>
    </row>
    <row r="10" spans="1:4" ht="13.9" x14ac:dyDescent="0.4">
      <c r="B10" s="140" t="s">
        <v>219</v>
      </c>
      <c r="C10" s="194">
        <v>2284983948</v>
      </c>
    </row>
    <row r="11" spans="1:4" ht="13.9" x14ac:dyDescent="0.4">
      <c r="B11" s="140" t="s">
        <v>220</v>
      </c>
      <c r="C11" s="193" t="s">
        <v>263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257</v>
      </c>
      <c r="C15" s="177" t="s">
        <v>264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266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6.5243903008122703E-2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4923071</v>
      </c>
      <c r="D48" s="60">
        <v>0.9</v>
      </c>
      <c r="E48" s="112"/>
    </row>
    <row r="49" spans="2:5" ht="13.9" x14ac:dyDescent="0.4">
      <c r="B49" s="1" t="s">
        <v>136</v>
      </c>
      <c r="C49" s="59">
        <v>163001</v>
      </c>
      <c r="D49" s="60">
        <v>0.8</v>
      </c>
      <c r="E49" s="112"/>
    </row>
    <row r="50" spans="2:5" ht="13.9" x14ac:dyDescent="0.4">
      <c r="B50" s="3" t="s">
        <v>117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924658</v>
      </c>
      <c r="D51" s="60">
        <v>0.6</v>
      </c>
      <c r="E51" s="112"/>
    </row>
    <row r="52" spans="2:5" ht="13.9" x14ac:dyDescent="0.4">
      <c r="B52" s="3" t="s">
        <v>44</v>
      </c>
      <c r="C52" s="59">
        <v>43659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17580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28511</v>
      </c>
      <c r="D64" s="60">
        <v>0.4</v>
      </c>
      <c r="E64" s="112"/>
    </row>
    <row r="65" spans="2:5" ht="13.9" x14ac:dyDescent="0.4">
      <c r="B65" s="3" t="s">
        <v>70</v>
      </c>
      <c r="C65" s="59">
        <v>232091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306071</v>
      </c>
      <c r="D70" s="60">
        <v>0.05</v>
      </c>
      <c r="E70" s="112"/>
    </row>
    <row r="71" spans="2:5" ht="13.9" x14ac:dyDescent="0.4">
      <c r="B71" s="3" t="s">
        <v>75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>
        <v>270468</v>
      </c>
    </row>
    <row r="74" spans="2:5" ht="13.9" x14ac:dyDescent="0.4">
      <c r="B74" s="3" t="s">
        <v>40</v>
      </c>
      <c r="C74" s="59">
        <v>18682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959583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74975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75530</v>
      </c>
    </row>
    <row r="83" spans="2:8" ht="14.25" thickTop="1" x14ac:dyDescent="0.4">
      <c r="B83" s="73" t="s">
        <v>222</v>
      </c>
      <c r="C83" s="59">
        <v>8486660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106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249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258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248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209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9959.HK</v>
      </c>
      <c r="D3" s="275"/>
      <c r="E3" s="87"/>
      <c r="F3" s="3" t="s">
        <v>1</v>
      </c>
      <c r="G3" s="132">
        <v>1.6399999856948899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聯易融科技－Ｗ</v>
      </c>
      <c r="D4" s="277"/>
      <c r="E4" s="87"/>
      <c r="F4" s="3" t="s">
        <v>3</v>
      </c>
      <c r="G4" s="280">
        <f>Inputs!C10</f>
        <v>2284983948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3747.3736420330529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C0008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0.39325092997635303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3.1621500776708874E-3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0.41284014982501793</v>
      </c>
    </row>
    <row r="24" spans="1:8" ht="15.75" customHeight="1" x14ac:dyDescent="0.4">
      <c r="B24" s="137" t="s">
        <v>171</v>
      </c>
      <c r="C24" s="172">
        <f>Fin_Analysis!I81</f>
        <v>9.5705744879944314E-3</v>
      </c>
      <c r="F24" s="140" t="s">
        <v>176</v>
      </c>
      <c r="G24" s="179">
        <f>(Fin_Analysis!H86*G7)/G3</f>
        <v>-4.1982390876466637E-2</v>
      </c>
    </row>
    <row r="25" spans="1:8" ht="15.75" customHeight="1" x14ac:dyDescent="0.4">
      <c r="B25" s="137" t="s">
        <v>245</v>
      </c>
      <c r="C25" s="172">
        <f>Fin_Analysis!I82</f>
        <v>1.5672463941809065E-4</v>
      </c>
      <c r="F25" s="140" t="s">
        <v>175</v>
      </c>
      <c r="G25" s="172">
        <f>Fin_Analysis!I88</f>
        <v>-1.5540778323012416</v>
      </c>
    </row>
    <row r="26" spans="1:8" ht="15.75" customHeight="1" x14ac:dyDescent="0.4">
      <c r="B26" s="138" t="s">
        <v>174</v>
      </c>
      <c r="C26" s="172">
        <f>Fin_Analysis!I83</f>
        <v>-0.22591626294706857</v>
      </c>
      <c r="F26" s="141" t="s">
        <v>195</v>
      </c>
      <c r="G26" s="179">
        <f>Fin_Analysis!H88*Exchange_Rate/G3</f>
        <v>6.5243903008122703E-2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259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0.86144249363847669</v>
      </c>
      <c r="D29" s="129">
        <f>G29*(1+G20)</f>
        <v>1.6558480488764975</v>
      </c>
      <c r="E29" s="87"/>
      <c r="F29" s="131">
        <f>IF(Fin_Analysis!C108="Profit",Fin_Analysis!F100,IF(Fin_Analysis!C108="Dividend",Fin_Analysis!F103,Fin_Analysis!F106))</f>
        <v>1.0134617572217373</v>
      </c>
      <c r="G29" s="271">
        <f>IF(Fin_Analysis!C108="Profit",Fin_Analysis!I100,IF(Fin_Analysis!C108="Dividend",Fin_Analysis!I103,Fin_Analysis!I106))</f>
        <v>1.4398678685882589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disagree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disagree</v>
      </c>
    </row>
    <row r="37" spans="1:3" ht="15.75" customHeight="1" x14ac:dyDescent="0.4">
      <c r="A37"/>
      <c r="B37" s="20" t="s">
        <v>241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8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6259920.6705000009</v>
      </c>
      <c r="E6" s="56">
        <f>1-D6/D3</f>
        <v>0.26208296455678259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2.9313620007255303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39</v>
      </c>
      <c r="I11" s="40">
        <f>Inputs!C73</f>
        <v>270468</v>
      </c>
      <c r="J11" s="87"/>
      <c r="K11" s="24"/>
    </row>
    <row r="12" spans="1:11" ht="13.9" x14ac:dyDescent="0.4">
      <c r="B12" s="1" t="s">
        <v>136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40</v>
      </c>
      <c r="I12" s="40">
        <f>Inputs!C74</f>
        <v>18682</v>
      </c>
      <c r="J12" s="87"/>
      <c r="K12" s="24"/>
    </row>
    <row r="13" spans="1:11" ht="13.9" x14ac:dyDescent="0.4">
      <c r="B13" s="3" t="s">
        <v>117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16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64</v>
      </c>
      <c r="I31" s="40">
        <f>Inputs!C79</f>
        <v>74975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08">
        <f>Inputs!C82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364125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96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173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234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126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161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-4.1982390876466637E-2</v>
      </c>
      <c r="D87" s="210"/>
      <c r="E87" s="263">
        <f>E86*Exchange_Rate/Dashboard!G3</f>
        <v>-4.1982390876466637E-2</v>
      </c>
      <c r="F87" s="210"/>
      <c r="H87" s="263">
        <f>H86*Exchange_Rate/Dashboard!G3</f>
        <v>-4.1982390876466637E-2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223</v>
      </c>
      <c r="C89" s="262">
        <f>C88*Exchange_Rate/Dashboard!G3</f>
        <v>6.5243903008122703E-2</v>
      </c>
      <c r="D89" s="210"/>
      <c r="E89" s="262">
        <f>E88*Exchange_Rate/Dashboard!G3</f>
        <v>6.5243903008122703E-2</v>
      </c>
      <c r="F89" s="210"/>
      <c r="H89" s="262">
        <f>H88*Exchange_Rate/Dashboard!G3</f>
        <v>6.5243903008122703E-2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-0.77169551249374657</v>
      </c>
      <c r="H93" s="87" t="s">
        <v>211</v>
      </c>
      <c r="I93" s="144">
        <f>FV(H87,D93,0,-(H86/C93))*Exchange_Rate</f>
        <v>-0.77169551249374657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2.0384335896443204</v>
      </c>
      <c r="H94" s="87" t="s">
        <v>212</v>
      </c>
      <c r="I94" s="144">
        <f>FV(H89,D93,0,-(H88/C93))*Exchange_Rate</f>
        <v>2.0384335896443204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-876677.63326688821</v>
      </c>
      <c r="D97" s="214"/>
      <c r="E97" s="123">
        <f>PV(C94,D93,0,-F93)</f>
        <v>-0.38366905554598157</v>
      </c>
      <c r="F97" s="214"/>
      <c r="H97" s="123">
        <f>PV(C94,D93,0,-I93)</f>
        <v>-0.38366905554598157</v>
      </c>
      <c r="I97" s="123">
        <f>PV(C93,D93,0,-I93)</f>
        <v>-0.54509481124051429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5056373.2750000004</v>
      </c>
      <c r="D99" s="215"/>
      <c r="E99" s="146">
        <f>IF(H99&gt;0,H99*(1-C94),H99*(1+C94))</f>
        <v>1.8809398147028034</v>
      </c>
      <c r="F99" s="215"/>
      <c r="H99" s="146">
        <f>C99*Data!$C$4/Common_Shares</f>
        <v>2.2128703702385923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4179695.6417331123</v>
      </c>
      <c r="D100" s="109">
        <f>MIN(F100*(1-C94),E100)</f>
        <v>1.4137506313860089</v>
      </c>
      <c r="E100" s="109">
        <f>MAX(E97-H98+E99,0)</f>
        <v>1.4972707591568217</v>
      </c>
      <c r="F100" s="109">
        <f>(E100+H100)/2</f>
        <v>1.6632360369247163</v>
      </c>
      <c r="H100" s="109">
        <f>MAX(C100*Data!$C$4/Common_Shares,0)</f>
        <v>1.8292013146926109</v>
      </c>
      <c r="I100" s="109">
        <f>MAX(I97-H98+H99,0)</f>
        <v>1.6677755589980781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2315743.8471635426</v>
      </c>
      <c r="D103" s="109">
        <f>MIN(F103*(1-C94),E103)</f>
        <v>0.86144249363847669</v>
      </c>
      <c r="E103" s="123">
        <f>PV(C94,D93,0,-F94)</f>
        <v>1.0134617572217373</v>
      </c>
      <c r="F103" s="109">
        <f>(E103+H103)/2</f>
        <v>1.0134617572217373</v>
      </c>
      <c r="H103" s="123">
        <f>PV(C94,D93,0,-I94)</f>
        <v>1.0134617572217373</v>
      </c>
      <c r="I103" s="109">
        <f>PV(C93,D93,0,-I94)</f>
        <v>1.4398678685882589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2868491.748823327</v>
      </c>
      <c r="D106" s="109">
        <f>(D100+D103)/2</f>
        <v>1.1375965625122428</v>
      </c>
      <c r="E106" s="123">
        <f>(E100+E103)/2</f>
        <v>1.2553662581892795</v>
      </c>
      <c r="F106" s="109">
        <f>(F100+F103)/2</f>
        <v>1.3383488970732267</v>
      </c>
      <c r="H106" s="123">
        <f>(H100+H103)/2</f>
        <v>1.4213315359571741</v>
      </c>
      <c r="I106" s="123">
        <f>(I100+I103)/2</f>
        <v>1.5538217137931685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