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50E062E3-BF61-694A-92DD-502B847FF3A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22" i="2" l="1"/>
  <c r="G22" i="2"/>
  <c r="H22" i="2"/>
  <c r="I22" i="2"/>
  <c r="J22" i="2"/>
  <c r="K22" i="2"/>
  <c r="L22" i="2"/>
  <c r="M22" i="2"/>
  <c r="F47" i="2"/>
  <c r="G47" i="2"/>
  <c r="H47" i="2"/>
  <c r="I47" i="2"/>
  <c r="J47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E96" i="3"/>
  <c r="F84" i="3"/>
  <c r="D47" i="2" l="1"/>
  <c r="E47" i="2"/>
  <c r="C47" i="2"/>
  <c r="M14" i="2"/>
  <c r="M46" i="2"/>
  <c r="J46" i="2"/>
  <c r="J14" i="2"/>
  <c r="L46" i="2"/>
  <c r="L14" i="2"/>
  <c r="K15" i="2" s="1"/>
  <c r="K46" i="2"/>
  <c r="K14" i="2"/>
  <c r="J15" i="2" s="1"/>
  <c r="I14" i="2"/>
  <c r="I46" i="2"/>
  <c r="H46" i="2"/>
  <c r="H14" i="2"/>
  <c r="F3" i="2" s="1"/>
  <c r="F46" i="2"/>
  <c r="F14" i="2"/>
  <c r="G46" i="2"/>
  <c r="G14" i="2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K18" i="2"/>
  <c r="I18" i="2"/>
  <c r="G7" i="2"/>
  <c r="G9" i="2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M13" i="2" l="1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D103" i="3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<sst xmlns="http://schemas.openxmlformats.org/spreadsheetml/2006/main" count="372" uniqueCount="265">
  <si>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</si>
  <si>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</si>
  <si>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</si>
  <si>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</si>
  <si>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</si>
  <si>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</si>
  <si>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</si>
  <si>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</si>
  <si>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</si>
  <si>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</si>
  <si>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</si>
  <si>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</si>
  <si>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</si>
  <si>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</si>
  <si>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</si>
  <si>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</si>
  <si>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</si>
  <si>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</si>
  <si>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</si>
  <si>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</si>
  <si>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</si>
  <si>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</si>
  <si>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</si>
  <si>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</si>
  <si>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</si>
  <si>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</si>
  <si>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</si>
  <si>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</si>
  <si>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</si>
  <si>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</si>
  <si>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</si>
  <si>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</si>
  <si>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</si>
  <si>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</si>
  <si>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</si>
  <si>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</si>
  <si>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</si>
  <si>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</si>
  <si>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</si>
  <si>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</si>
  <si>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</si>
  <si>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</si>
  <si>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</si>
  <si>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</si>
  <si>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</si>
  <si>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</si>
  <si>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</si>
  <si>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</si>
  <si>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</si>
  <si>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</si>
  <si>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</si>
  <si>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</si>
  <si>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</si>
  <si>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</si>
  <si>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</si>
  <si>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</si>
  <si>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</si>
  <si>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</si>
  <si>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</si>
  <si>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</si>
  <si>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</si>
  <si>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</si>
  <si>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</si>
  <si>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</si>
  <si>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</si>
  <si>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</si>
  <si>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</si>
  <si>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</si>
  <si>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</si>
  <si>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</si>
  <si>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</si>
  <si>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</si>
  <si>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</si>
  <si>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</si>
  <si>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</si>
  <si>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</si>
  <si>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</si>
  <si>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</si>
  <si>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</si>
  <si>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</si>
  <si>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</si>
  <si>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</si>
  <si>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</si>
  <si>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</si>
  <si>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</si>
  <si>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</si>
  <si>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</si>
  <si>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</si>
  <si>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</si>
  <si>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</si>
  <si>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</si>
  <si>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</si>
  <si>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</si>
  <si>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</si>
  <si>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</si>
  <si>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</si>
  <si>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</si>
  <si>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</si>
  <si>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</si>
  <si>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</si>
  <si>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</si>
  <si>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</si>
  <si>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</si>
  <si>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</si>
  <si>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</si>
  <si>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</si>
  <si>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</si>
  <si>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</si>
  <si>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</si>
  <si>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</si>
  <si>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</si>
  <si>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</si>
  <si>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</si>
  <si>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</si>
  <si>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</si>
  <si>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</si>
  <si>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</si>
  <si>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</si>
  <si>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</si>
  <si>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</si>
  <si>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</si>
  <si>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</si>
  <si>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</si>
  <si>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</si>
  <si>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</si>
  <si>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</si>
  <si>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</si>
  <si>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</si>
  <si>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</si>
  <si>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</si>
  <si>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</si>
  <si>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</si>
  <si>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</si>
  <si>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</si>
  <si>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</si>
  <si>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</si>
  <si>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</si>
  <si>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</si>
  <si>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</si>
  <si>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</si>
  <si>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</si>
  <si>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</si>
  <si>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</si>
  <si>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</si>
  <si>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</si>
  <si>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</si>
  <si>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</si>
  <si>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</si>
  <si>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</si>
  <si>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</si>
  <si>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</si>
  <si>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</si>
  <si>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</si>
  <si>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</si>
  <si>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</si>
  <si>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</si>
  <si>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</si>
  <si>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</si>
  <si>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</si>
  <si>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</si>
  <si>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</si>
  <si>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</si>
  <si>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</si>
  <si>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</si>
  <si>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</si>
  <si>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</si>
  <si>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</si>
  <si>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</si>
  <si>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</si>
  <si>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</si>
  <si>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</si>
  <si>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</si>
  <si>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</si>
  <si>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</si>
  <si>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</si>
  <si>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</si>
  <si>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</si>
  <si>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</si>
  <si>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</si>
  <si>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</si>
  <si>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</si>
  <si>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</si>
  <si>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</si>
  <si>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</si>
  <si>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</si>
  <si>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</si>
  <si>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</si>
  <si>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</si>
  <si>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</si>
  <si>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</si>
  <si>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</si>
  <si>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</si>
  <si>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</si>
  <si>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</si>
  <si>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</si>
  <si>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</si>
  <si>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</si>
  <si>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</si>
  <si>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</si>
  <si>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</si>
  <si>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</si>
  <si>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</si>
  <si>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</si>
  <si>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</si>
  <si>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</si>
  <si>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</si>
  <si>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</si>
  <si>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</si>
  <si>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</si>
  <si>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</si>
  <si>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</si>
  <si>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</si>
  <si>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</si>
  <si>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</si>
  <si>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</si>
  <si>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</si>
  <si>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</si>
  <si>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</si>
  <si>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</si>
  <si>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</si>
  <si>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</si>
  <si>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</si>
  <si>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</si>
  <si>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</si>
  <si>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</si>
  <si>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</si>
  <si>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</si>
  <si>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</si>
  <si>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</si>
  <si>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</si>
  <si>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</si>
  <si>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</si>
  <si>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</si>
  <si>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</si>
  <si>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</si>
  <si>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</si>
  <si>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</si>
  <si>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</si>
  <si>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</si>
  <si>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</si>
  <si>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</si>
  <si>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</si>
  <si>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</si>
  <si>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</si>
  <si>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</si>
  <si>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</si>
  <si>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</si>
  <si>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</si>
  <si>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</si>
  <si>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</si>
  <si>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</si>
  <si>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</si>
  <si>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</si>
  <si>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</si>
  <si>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</si>
  <si>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</si>
  <si>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</si>
  <si>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</si>
  <si>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</si>
  <si>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</si>
  <si>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老鋪黃金</t>
  </si>
  <si>
    <t>6181.HK</t>
  </si>
  <si>
    <t>CNY</t>
  </si>
  <si>
    <t>Dividend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</si>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</sst>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5.7183940942846252E-3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C12" sqref="C12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261</v>
      </c>
      <c r="E4" s="234" t="s">
        <v>215</v>
      </c>
      <c r="F4" s="12" t="str">
        <f>C11</f>
        <v>CNY</v>
      </c>
    </row>
    <row r="5" spans="1:6" ht="14" x14ac:dyDescent="0.15">
      <c r="B5" s="141" t="s">
        <v>203</v>
      </c>
      <c r="C5" s="195" t="s">
        <v>260</v>
      </c>
      <c r="E5" s="228">
        <f>C18</f>
        <v>45291</v>
      </c>
      <c r="F5" s="229"/>
    </row>
    <row r="6" spans="1:6" ht="14" x14ac:dyDescent="0.15">
      <c r="B6" s="141" t="s">
        <v>168</v>
      </c>
      <c r="C6" s="193">
        <v>45593</v>
      </c>
      <c r="E6" s="230" t="s">
        <v>213</v>
      </c>
      <c r="F6" s="229"/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71</v>
      </c>
    </row>
    <row r="9" spans="1:6" ht="14" x14ac:dyDescent="0.15">
      <c r="B9" s="140" t="s">
        <v>225</v>
      </c>
      <c r="C9" s="196" t="s">
        <v>254</v>
      </c>
    </row>
    <row r="10" spans="1:6" ht="14" x14ac:dyDescent="0.15">
      <c r="B10" s="140" t="s">
        <v>226</v>
      </c>
      <c r="C10" s="197">
        <v>168366700</v>
      </c>
    </row>
    <row r="11" spans="1:6" ht="14" x14ac:dyDescent="0.15">
      <c r="B11" s="140" t="s">
        <v>227</v>
      </c>
      <c r="C11" s="196" t="s">
        <v>262</v>
      </c>
    </row>
    <row r="12" spans="1:6" ht="14" x14ac:dyDescent="0.15">
      <c r="B12" s="224" t="s">
        <v>10</v>
      </c>
      <c r="C12" s="225">
        <v>45291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45473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1">
        <v>3179564</v>
      </c>
      <c r="D19" s="151">
        <v>1294220</v>
      </c>
      <c r="E19" s="151">
        <v>1264603</v>
      </c>
      <c r="F19" s="151"/>
      <c r="G19" s="151"/>
      <c r="H19" s="151"/>
      <c r="I19" s="151"/>
      <c r="J19" s="151"/>
      <c r="K19" s="151"/>
      <c r="L19" s="151"/>
      <c r="M19" s="151"/>
    </row>
    <row r="20" spans="2:13" ht="15" x14ac:dyDescent="0.15">
      <c r="B20" s="97" t="s">
        <v>106</v>
      </c>
      <c r="C20" s="152">
        <v>1847607</v>
      </c>
      <c r="D20" s="152">
        <v>752082</v>
      </c>
      <c r="E20" s="152">
        <v>743602</v>
      </c>
      <c r="F20" s="152"/>
      <c r="G20" s="152"/>
      <c r="H20" s="152"/>
      <c r="I20" s="152"/>
      <c r="J20" s="152"/>
      <c r="K20" s="152"/>
      <c r="L20" s="152"/>
      <c r="M20" s="152"/>
    </row>
    <row r="21" spans="2:13" ht="15" x14ac:dyDescent="0.15">
      <c r="B21" s="97" t="s">
        <v>104</v>
      </c>
      <c r="C21" s="152">
        <v>746918</v>
      </c>
      <c r="D21" s="152">
        <v>391294</v>
      </c>
      <c r="E21" s="152">
        <v>351556</v>
      </c>
      <c r="F21" s="152"/>
      <c r="G21" s="152"/>
      <c r="H21" s="152"/>
      <c r="I21" s="152"/>
      <c r="J21" s="152"/>
      <c r="K21" s="152"/>
      <c r="L21" s="152"/>
      <c r="M21" s="152"/>
    </row>
    <row r="22" spans="2:13" ht="15" x14ac:dyDescent="0.15">
      <c r="B22" s="97" t="s">
        <v>107</v>
      </c>
      <c r="C22" s="152">
        <v>10720</v>
      </c>
      <c r="D22" s="152">
        <v>8525</v>
      </c>
      <c r="E22" s="152">
        <v>8411</v>
      </c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18182</v>
      </c>
      <c r="D23" s="152">
        <v>16973</v>
      </c>
      <c r="E23" s="152">
        <v>11671</v>
      </c>
      <c r="F23" s="152"/>
      <c r="G23" s="152"/>
      <c r="H23" s="152"/>
      <c r="I23" s="152"/>
      <c r="J23" s="152"/>
      <c r="K23" s="152"/>
      <c r="L23" s="152"/>
      <c r="M23" s="152"/>
    </row>
    <row r="24" spans="2:13" ht="14" x14ac:dyDescent="0.15">
      <c r="B24" s="99" t="s">
        <v>111</v>
      </c>
      <c r="C24" s="152">
        <v>0</v>
      </c>
      <c r="D24" s="152">
        <v>0</v>
      </c>
      <c r="E24" s="152">
        <v>0</v>
      </c>
      <c r="F24" s="152"/>
      <c r="G24" s="152"/>
      <c r="H24" s="152"/>
      <c r="I24" s="152"/>
      <c r="J24" s="152"/>
      <c r="K24" s="152"/>
      <c r="L24" s="152"/>
      <c r="M24" s="152"/>
    </row>
    <row r="25" spans="2:13" ht="15" x14ac:dyDescent="0.15">
      <c r="B25" s="97" t="s">
        <v>110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/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/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/>
      <c r="D46" s="60">
        <v>0.1</v>
      </c>
      <c r="E46" s="112"/>
    </row>
    <row r="47" spans="2:13" ht="14" x14ac:dyDescent="0.15">
      <c r="B47" s="3" t="s">
        <v>47</v>
      </c>
      <c r="C47" s="59"/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/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/>
      <c r="D62" s="60">
        <v>0.05</v>
      </c>
      <c r="E62" s="112"/>
    </row>
    <row r="63" spans="2:5" ht="14" x14ac:dyDescent="0.15">
      <c r="B63" s="3" t="s">
        <v>75</v>
      </c>
      <c r="C63" s="59"/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32" sqref="B3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6181.HK</v>
      </c>
      <c r="D3" s="253"/>
      <c r="E3" s="87"/>
      <c r="F3" s="3" t="s">
        <v>1</v>
      </c>
      <c r="G3" s="132">
        <v>203.8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老鋪黃金</v>
      </c>
      <c r="D4" s="255"/>
      <c r="E4" s="87"/>
      <c r="F4" s="3" t="s">
        <v>3</v>
      </c>
      <c r="G4" s="258">
        <f>Inputs!C10</f>
        <v>168366700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34313.133460000005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CNY</v>
      </c>
      <c r="H6" s="251"/>
      <c r="I6" s="38"/>
    </row>
    <row r="7" spans="1:10" ht="15.75" customHeight="1" x14ac:dyDescent="0.15">
      <c r="B7" s="86" t="s">
        <v>200</v>
      </c>
      <c r="C7" s="191" t="s">
        <v>71</v>
      </c>
      <c r="D7" s="191" t="str">
        <f>Inputs!C9</f>
        <v>C0003</v>
      </c>
      <c r="E7" s="87"/>
      <c r="F7" s="35" t="s">
        <v>6</v>
      </c>
      <c r="G7" s="133">
        <v>1.08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0.58108816177312361</v>
      </c>
      <c r="F20" s="87" t="s">
        <v>219</v>
      </c>
      <c r="G20" s="175">
        <v>0.15</v>
      </c>
    </row>
    <row r="21" spans="1:8" ht="15.75" customHeight="1" x14ac:dyDescent="0.15">
      <c r="B21" s="137" t="s">
        <v>256</v>
      </c>
      <c r="C21" s="174">
        <f>Fin_Analysis!I77</f>
        <v>0.23828361372817153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5.7183940942846252E-3</v>
      </c>
      <c r="F22" s="142" t="s">
        <v>191</v>
      </c>
    </row>
    <row r="23" spans="1:8" ht="15.75" customHeight="1" x14ac:dyDescent="0.15">
      <c r="B23" s="137" t="s">
        <v>255</v>
      </c>
      <c r="C23" s="174">
        <f>Fin_Analysis!I80</f>
        <v>0</v>
      </c>
      <c r="F23" s="140" t="s">
        <v>195</v>
      </c>
      <c r="G23" s="180" t="e">
        <f>G3/(Data!C36*Data!C4/Common_Shares*Exchange_Rate)</f>
        <v>#DIV/0!</v>
      </c>
    </row>
    <row r="24" spans="1:8" ht="15.75" customHeight="1" x14ac:dyDescent="0.15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1.3128237633124634E-2</v>
      </c>
    </row>
    <row r="25" spans="1:8" ht="15.75" customHeight="1" x14ac:dyDescent="0.15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0</v>
      </c>
    </row>
    <row r="26" spans="1:8" ht="15.75" customHeight="1" x14ac:dyDescent="0.15">
      <c r="B26" s="138" t="s">
        <v>178</v>
      </c>
      <c r="C26" s="174">
        <f>Fin_Analysis!I83</f>
        <v>0.17490983040442024</v>
      </c>
      <c r="F26" s="141" t="s">
        <v>201</v>
      </c>
      <c r="G26" s="181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247</v>
      </c>
      <c r="G28" s="248" t="s">
        <v>248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0</v>
      </c>
      <c r="D29" s="129">
        <f>IF(Fin_Analysis!C108="Profit",Fin_Analysis!I100,IF(Fin_Analysis!C108="Dividend",Fin_Analysis!I103,Fin_Analysis!I106))</f>
        <v>0</v>
      </c>
      <c r="E29" s="87"/>
      <c r="F29" s="131">
        <f>IF(Fin_Analysis!C108="Profit",Fin_Analysis!F100,IF(Fin_Analysis!C108="Dividend",Fin_Analysis!F103,Fin_Analysis!F106))</f>
        <v>0</v>
      </c>
      <c r="G29" s="249">
        <f>IF(Fin_Analysis!C108="Profit",Fin_Analysis!E100,IF(Fin_Analysis!C108="Dividend",Fin_Analysis!E103,Fin_Analysis!E106))</f>
        <v>0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257</v>
      </c>
    </row>
    <row r="34" spans="1:3" ht="15.75" customHeight="1" x14ac:dyDescent="0.15">
      <c r="A34"/>
      <c r="B34" s="19" t="s">
        <v>235</v>
      </c>
      <c r="C34" s="23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249</v>
      </c>
      <c r="C36" s="236" t="s">
        <v>257</v>
      </c>
    </row>
    <row r="37" spans="1:3" ht="15.75" customHeight="1" x14ac:dyDescent="0.15">
      <c r="A37"/>
      <c r="B37" s="20" t="s">
        <v>250</v>
      </c>
      <c r="C37" s="236" t="s">
        <v>257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257</v>
      </c>
    </row>
    <row r="40" spans="1:3" ht="15.75" customHeight="1" x14ac:dyDescent="0.15">
      <c r="A40"/>
      <c r="B40" s="1" t="s">
        <v>241</v>
      </c>
      <c r="C40" s="236" t="s">
        <v>257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264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2" sqref="C22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45291</v>
      </c>
      <c r="E3" s="148" t="s">
        <v>208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CNY</v>
      </c>
      <c r="E4" s="148" t="s">
        <v>209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6">
        <f>IF(Inputs!C19=""," ",Inputs!C19)</f>
        <v>3179564</v>
      </c>
      <c r="D6" s="206">
        <f>IF(Inputs!D19="","",Inputs!D19)</f>
        <v>1294220</v>
      </c>
      <c r="E6" s="206">
        <f>IF(Inputs!E19="","",Inputs!E19)</f>
        <v>1264603</v>
      </c>
      <c r="F6" s="206" t="str">
        <f>IF(Inputs!F19="","",Inputs!F19)</f>
        <v/>
      </c>
      <c r="G6" s="206" t="str">
        <f>IF(Inputs!G19="","",Inputs!G19)</f>
        <v/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1847607</v>
      </c>
      <c r="D8" s="205">
        <f>IF(Inputs!D20="","",Inputs!D20)</f>
        <v>752082</v>
      </c>
      <c r="E8" s="205">
        <f>IF(Inputs!E20="","",Inputs!E20)</f>
        <v>743602</v>
      </c>
      <c r="F8" s="205" t="str">
        <f>IF(Inputs!F20="","",Inputs!F20)</f>
        <v/>
      </c>
      <c r="G8" s="205" t="str">
        <f>IF(Inputs!G20="","",Inputs!G20)</f>
        <v/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1331957</v>
      </c>
      <c r="D9" s="153">
        <f t="shared" si="2"/>
        <v>542138</v>
      </c>
      <c r="E9" s="153">
        <f t="shared" si="2"/>
        <v>521001</v>
      </c>
      <c r="F9" s="153" t="str">
        <f t="shared" si="2"/>
        <v/>
      </c>
      <c r="G9" s="153" t="str">
        <f t="shared" si="2"/>
        <v/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746918</v>
      </c>
      <c r="D10" s="205">
        <f>IF(Inputs!D21="","",Inputs!D21)</f>
        <v>391294</v>
      </c>
      <c r="E10" s="205">
        <f>IF(Inputs!E21="","",Inputs!E21)</f>
        <v>351556</v>
      </c>
      <c r="F10" s="205" t="str">
        <f>IF(Inputs!F21="","",Inputs!F21)</f>
        <v/>
      </c>
      <c r="G10" s="205" t="str">
        <f>IF(Inputs!G21="","",Inputs!G21)</f>
        <v/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>
        <f>IF(Inputs!C22="","",Inputs!C22)</f>
        <v>10720</v>
      </c>
      <c r="D11" s="205">
        <f>IF(Inputs!D22="","",Inputs!D22)</f>
        <v>8525</v>
      </c>
      <c r="E11" s="205">
        <f>IF(Inputs!E22="","",Inputs!E22)</f>
        <v>8411</v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251</v>
      </c>
      <c r="C12" s="205">
        <f>IF(Inputs!C24="","",MAX(Inputs!C24,0)/(1-Fin_Analysis!$I$84))</f>
        <v>0</v>
      </c>
      <c r="D12" s="205">
        <f>IF(Inputs!D24="","",MAX(Inputs!D24,0)/(1-Fin_Analysis!$I$84))</f>
        <v>0</v>
      </c>
      <c r="E12" s="205">
        <f>IF(Inputs!E24="","",MAX(Inputs!E24,0)/(1-Fin_Analysis!$I$84))</f>
        <v>0</v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252</v>
      </c>
      <c r="C13" s="242">
        <f t="shared" ref="C13:M13" si="3">IF(C14="","",C14/C6)</f>
        <v>0.18062822449870486</v>
      </c>
      <c r="D13" s="242">
        <f t="shared" si="3"/>
        <v>0.10996507548948402</v>
      </c>
      <c r="E13" s="242">
        <f t="shared" si="3"/>
        <v>0.12733956822813167</v>
      </c>
      <c r="F13" s="242" t="str">
        <f t="shared" si="3"/>
        <v/>
      </c>
      <c r="G13" s="242" t="str">
        <f t="shared" si="3"/>
        <v/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243</v>
      </c>
      <c r="C14" s="243">
        <f>IF(C6="","",C9-C10-MAX(C11,0)-MAX(C12,0))</f>
        <v>574319</v>
      </c>
      <c r="D14" s="243">
        <f t="shared" ref="D14:M14" si="4">IF(D6="","",D9-D10-MAX(D11,0)-MAX(D12,0))</f>
        <v>142319</v>
      </c>
      <c r="E14" s="243">
        <f t="shared" si="4"/>
        <v>161034</v>
      </c>
      <c r="F14" s="243" t="str">
        <f t="shared" si="4"/>
        <v/>
      </c>
      <c r="G14" s="243" t="str">
        <f t="shared" si="4"/>
        <v/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253</v>
      </c>
      <c r="C15" s="245">
        <f>IF(D14="","",IF(ABS(C14+D14)=ABS(C14)+ABS(D14),IF(C14&lt;0,-1,1)*(C14-D14)/D14,"Turn"))</f>
        <v>3.0354344816925356</v>
      </c>
      <c r="D15" s="245">
        <f t="shared" ref="D15:M15" si="5">IF(E14="","",IF(ABS(D14+E14)=ABS(D14)+ABS(E14),IF(D14&lt;0,-1,1)*(D14-E14)/E14,"Turn"))</f>
        <v>-0.11621769315796664</v>
      </c>
      <c r="E15" s="245" t="str">
        <f t="shared" si="5"/>
        <v/>
      </c>
      <c r="F15" s="245" t="str">
        <f t="shared" si="5"/>
        <v/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 t="str">
        <f>IF(Inputs!C25="","",Inputs!C25)</f>
        <v/>
      </c>
      <c r="D16" s="205" t="str">
        <f>IF(Inputs!D25="","",Inputs!D25)</f>
        <v/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18182</v>
      </c>
      <c r="D17" s="205">
        <f>IF(Inputs!D23="","",Inputs!D23)</f>
        <v>16973</v>
      </c>
      <c r="E17" s="205">
        <f>IF(Inputs!E23="","",Inputs!E23)</f>
        <v>11671</v>
      </c>
      <c r="F17" s="205" t="str">
        <f>IF(Inputs!F23="","",Inputs!F23)</f>
        <v/>
      </c>
      <c r="G17" s="205" t="str">
        <f>IF(Inputs!G23="","",Inputs!G23)</f>
        <v/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 t="str">
        <f>IF(Inputs!C26="","",Inputs!C26)</f>
        <v/>
      </c>
      <c r="D19" s="205" t="str">
        <f>IF(Inputs!D26="","",Inputs!D26)</f>
        <v/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245</v>
      </c>
      <c r="C20" s="154">
        <f t="shared" ref="C20:M20" si="7">IF(C6="","",MAX(C21,0)/C6)</f>
        <v>0</v>
      </c>
      <c r="D20" s="154">
        <f t="shared" si="7"/>
        <v>0</v>
      </c>
      <c r="E20" s="154">
        <f t="shared" si="7"/>
        <v>0</v>
      </c>
      <c r="F20" s="154" t="str">
        <f t="shared" si="7"/>
        <v/>
      </c>
      <c r="G20" s="154" t="str">
        <f t="shared" si="7"/>
        <v/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 t="str">
        <f>IF(Inputs!C27="","",Inputs!C27)</f>
        <v/>
      </c>
      <c r="D21" s="205" t="str">
        <f>IF(Inputs!D27="","",Inputs!D27)</f>
        <v/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556137</v>
      </c>
      <c r="D22" s="163">
        <f t="shared" ref="D22:M22" si="8">IF(D6="","",D14-MAX(D16,0)-MAX(D17,0)-ABS(MAX(D21,0)-MAX(D19,0)))</f>
        <v>125346</v>
      </c>
      <c r="E22" s="163">
        <f t="shared" si="8"/>
        <v>149363</v>
      </c>
      <c r="F22" s="163" t="str">
        <f t="shared" si="8"/>
        <v/>
      </c>
      <c r="G22" s="163" t="str">
        <f t="shared" si="8"/>
        <v/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0.13118237280331518</v>
      </c>
      <c r="D23" s="155">
        <f t="shared" si="9"/>
        <v>7.2637959543199765E-2</v>
      </c>
      <c r="E23" s="155">
        <f t="shared" si="9"/>
        <v>8.8582938677197506E-2</v>
      </c>
      <c r="F23" s="155" t="str">
        <f t="shared" si="9"/>
        <v/>
      </c>
      <c r="G23" s="155" t="str">
        <f t="shared" si="9"/>
        <v/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3.4368148963668563</v>
      </c>
      <c r="D25" s="246">
        <f t="shared" ref="D25:M25" si="10">IF(E24="","",IF(ABS(D24+E24)=ABS(D24)+ABS(E24),IF(D24&lt;0,-1,1)*(D24-E24)/E24,"Turn"))</f>
        <v>-0.16079618111580513</v>
      </c>
      <c r="E25" s="246" t="str">
        <f t="shared" si="10"/>
        <v/>
      </c>
      <c r="F25" s="246" t="str">
        <f t="shared" si="10"/>
        <v/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5" t="str">
        <f>IF(Inputs!D31="","",Inputs!D31)</f>
        <v/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5" t="str">
        <f>IF(Inputs!D32="","",Inputs!D32)</f>
        <v/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5" t="str">
        <f>IF(Inputs!D35="","",Inputs!D35)</f>
        <v/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5" t="str">
        <f>IF(Inputs!D36="","",Inputs!D36)</f>
        <v/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 t="e">
        <f>IF(C6="","",C14/MAX(C39,0))</f>
        <v>#DIV/0!</v>
      </c>
      <c r="D40" s="157" t="e">
        <f>IF(D6="","",D14/MAX(D39,0))</f>
        <v>#DIV/0!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0.58108816177312361</v>
      </c>
      <c r="D42" s="158">
        <f t="shared" si="34"/>
        <v>0.58110831234256932</v>
      </c>
      <c r="E42" s="158">
        <f t="shared" si="34"/>
        <v>0.58801220620226269</v>
      </c>
      <c r="F42" s="158" t="str">
        <f t="shared" si="34"/>
        <v/>
      </c>
      <c r="G42" s="158" t="str">
        <f t="shared" si="34"/>
        <v/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244</v>
      </c>
      <c r="C43" s="155">
        <f t="shared" ref="C43:M43" si="35">IF(C6="","",(C10+MAX(C11,0))/C6)</f>
        <v>0.23828361372817153</v>
      </c>
      <c r="D43" s="155">
        <f t="shared" si="35"/>
        <v>0.3089266121679467</v>
      </c>
      <c r="E43" s="155">
        <f t="shared" si="35"/>
        <v>0.28464822556960562</v>
      </c>
      <c r="F43" s="155" t="str">
        <f t="shared" si="35"/>
        <v/>
      </c>
      <c r="G43" s="155" t="str">
        <f t="shared" si="35"/>
        <v/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 t="str">
        <f t="shared" si="36"/>
        <v/>
      </c>
      <c r="G44" s="155" t="str">
        <f t="shared" si="36"/>
        <v/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5.7183940942846252E-3</v>
      </c>
      <c r="D45" s="155">
        <f t="shared" si="37"/>
        <v>1.311446276521766E-2</v>
      </c>
      <c r="E45" s="155">
        <f t="shared" si="37"/>
        <v>9.2289833252016638E-3</v>
      </c>
      <c r="F45" s="155" t="str">
        <f t="shared" si="37"/>
        <v/>
      </c>
      <c r="G45" s="155" t="str">
        <f t="shared" si="37"/>
        <v/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0</v>
      </c>
      <c r="D46" s="155">
        <f t="shared" ref="D46:M46" si="38">IF(D6="","",MAX(D12,0)/D6)</f>
        <v>0</v>
      </c>
      <c r="E46" s="155">
        <f t="shared" si="38"/>
        <v>0</v>
      </c>
      <c r="F46" s="155" t="str">
        <f t="shared" si="38"/>
        <v/>
      </c>
      <c r="G46" s="155" t="str">
        <f t="shared" si="38"/>
        <v/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246</v>
      </c>
      <c r="C47" s="155">
        <f>IF(C6="","",ABS(MAX(C21,0)-MAX(C19,0))/C6)</f>
        <v>0</v>
      </c>
      <c r="D47" s="155">
        <f t="shared" ref="D47:M47" si="39">IF(D6="","",ABS(MAX(D21,0)-MAX(D19,0))/D6)</f>
        <v>0</v>
      </c>
      <c r="E47" s="155">
        <f t="shared" si="39"/>
        <v>0</v>
      </c>
      <c r="F47" s="155" t="str">
        <f t="shared" si="39"/>
        <v/>
      </c>
      <c r="G47" s="155" t="str">
        <f t="shared" si="39"/>
        <v/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0.17490983040442024</v>
      </c>
      <c r="D48" s="155">
        <f t="shared" si="40"/>
        <v>9.6850612724266358E-2</v>
      </c>
      <c r="E48" s="155">
        <f t="shared" si="40"/>
        <v>0.11811058490293001</v>
      </c>
      <c r="F48" s="155" t="str">
        <f t="shared" si="40"/>
        <v/>
      </c>
      <c r="G48" s="155" t="str">
        <f t="shared" si="40"/>
        <v/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 t="str">
        <f t="shared" ref="C54:M54" si="44">IF(OR(C22="",C35=""),"",IF(C35&lt;=0,"-",C22/C35))</f>
        <v>-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3.2693383105242051E-2</v>
      </c>
      <c r="D55" s="155">
        <f t="shared" si="45"/>
        <v>0.13540918736936161</v>
      </c>
      <c r="E55" s="155">
        <f t="shared" si="45"/>
        <v>7.8138494807951098E-2</v>
      </c>
      <c r="F55" s="155" t="str">
        <f t="shared" si="45"/>
        <v/>
      </c>
      <c r="G55" s="155" t="str">
        <f t="shared" si="45"/>
        <v/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58" zoomScaleNormal="100" workbookViewId="0">
      <selection activeCell="D102" sqref="D10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4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204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4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4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2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204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4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3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45291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3179564</v>
      </c>
      <c r="D74" s="215"/>
      <c r="E74" s="202">
        <f>H74</f>
        <v>3179564</v>
      </c>
      <c r="F74" s="215"/>
      <c r="H74" s="202">
        <f>C74</f>
        <v>3179564</v>
      </c>
      <c r="I74" s="215"/>
      <c r="K74" s="24"/>
    </row>
    <row r="75" spans="1:11" ht="15" customHeight="1" x14ac:dyDescent="0.15">
      <c r="B75" s="104" t="s">
        <v>106</v>
      </c>
      <c r="C75" s="77">
        <f>Data!C8</f>
        <v>1847607</v>
      </c>
      <c r="D75" s="161">
        <f>C75/$C$74</f>
        <v>0.58108816177312361</v>
      </c>
      <c r="E75" s="202">
        <f>E74*D75</f>
        <v>1847607</v>
      </c>
      <c r="F75" s="162">
        <f>E75/E74</f>
        <v>0.58108816177312361</v>
      </c>
      <c r="H75" s="202">
        <f>H74*D75</f>
        <v>1847607</v>
      </c>
      <c r="I75" s="162">
        <f>H75/$H$74</f>
        <v>0.58108816177312361</v>
      </c>
      <c r="K75" s="24"/>
    </row>
    <row r="76" spans="1:11" ht="15" customHeight="1" x14ac:dyDescent="0.15">
      <c r="B76" s="35" t="s">
        <v>96</v>
      </c>
      <c r="C76" s="163">
        <f>C74-C75</f>
        <v>1331957</v>
      </c>
      <c r="D76" s="216"/>
      <c r="E76" s="164">
        <f>E74-E75</f>
        <v>1331957</v>
      </c>
      <c r="F76" s="216"/>
      <c r="H76" s="164">
        <f>H74-H75</f>
        <v>1331957</v>
      </c>
      <c r="I76" s="216"/>
      <c r="K76" s="24"/>
    </row>
    <row r="77" spans="1:11" ht="15" customHeight="1" x14ac:dyDescent="0.15">
      <c r="B77" s="104" t="s">
        <v>259</v>
      </c>
      <c r="C77" s="77">
        <f>Data!C10+MAX(Data!C11,0)</f>
        <v>757638</v>
      </c>
      <c r="D77" s="161">
        <f>C77/$C$74</f>
        <v>0.23828361372817153</v>
      </c>
      <c r="E77" s="202">
        <f>E74*I77</f>
        <v>757638</v>
      </c>
      <c r="F77" s="162">
        <f>E77/E74</f>
        <v>0.23828361372817153</v>
      </c>
      <c r="H77" s="202">
        <f>H74*D77</f>
        <v>757638</v>
      </c>
      <c r="I77" s="162">
        <f>H77/$H$74</f>
        <v>0.23828361372817153</v>
      </c>
      <c r="K77" s="24"/>
    </row>
    <row r="78" spans="1:11" ht="15" customHeight="1" x14ac:dyDescent="0.15">
      <c r="B78" s="35" t="s">
        <v>242</v>
      </c>
      <c r="C78" s="163">
        <f>C76-C77</f>
        <v>574319</v>
      </c>
      <c r="D78" s="216"/>
      <c r="E78" s="164">
        <f>E76-E77</f>
        <v>574319</v>
      </c>
      <c r="F78" s="216"/>
      <c r="H78" s="164">
        <f>H76-H77</f>
        <v>574319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18182</v>
      </c>
      <c r="D79" s="161">
        <f>C79/$C$74</f>
        <v>5.7183940942846252E-3</v>
      </c>
      <c r="E79" s="183">
        <f>E74*F79</f>
        <v>18182</v>
      </c>
      <c r="F79" s="162">
        <f t="shared" ref="F79:F84" si="3">I79</f>
        <v>5.7183940942846252E-3</v>
      </c>
      <c r="H79" s="202">
        <f>H74*D79</f>
        <v>18182</v>
      </c>
      <c r="I79" s="162">
        <f>H79/$H$74</f>
        <v>5.7183940942846252E-3</v>
      </c>
      <c r="K79" s="24"/>
    </row>
    <row r="80" spans="1:11" ht="15" customHeight="1" x14ac:dyDescent="0.15">
      <c r="B80" s="28" t="s">
        <v>258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2">
      <c r="B83" s="105" t="s">
        <v>128</v>
      </c>
      <c r="C83" s="165">
        <f>C78-C79-C80-C81-C82</f>
        <v>556137</v>
      </c>
      <c r="D83" s="166">
        <f>C83/$C$74</f>
        <v>0.17490983040442024</v>
      </c>
      <c r="E83" s="167">
        <f>E78-E79-E80-E81-E82</f>
        <v>556137</v>
      </c>
      <c r="F83" s="166">
        <f>E83/E74</f>
        <v>0.17490983040442024</v>
      </c>
      <c r="H83" s="167">
        <f>H78-H79-H80-H81-H82</f>
        <v>556137</v>
      </c>
      <c r="I83" s="166">
        <f>H83/$H$74</f>
        <v>0.17490983040442024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417102.75</v>
      </c>
      <c r="D85" s="168">
        <f>C85/$C$74</f>
        <v>0.13118237280331518</v>
      </c>
      <c r="E85" s="169">
        <f>E83*(1-F84)</f>
        <v>417102.75</v>
      </c>
      <c r="F85" s="168">
        <f>E85/E74</f>
        <v>0.13118237280331518</v>
      </c>
      <c r="H85" s="169">
        <f>H83*(1-I84)</f>
        <v>417102.75</v>
      </c>
      <c r="I85" s="168">
        <f>H85/$H$74</f>
        <v>0.13118237280331518</v>
      </c>
      <c r="K85" s="24"/>
    </row>
    <row r="86" spans="1:11" ht="15" customHeight="1" x14ac:dyDescent="0.15">
      <c r="B86" s="87" t="s">
        <v>165</v>
      </c>
      <c r="C86" s="170">
        <f>C85*Data!C4/Common_Shares</f>
        <v>2.4773470644729629</v>
      </c>
      <c r="D86" s="215"/>
      <c r="E86" s="171">
        <f>E85*Data!C4/Common_Shares</f>
        <v>2.4773470644729629</v>
      </c>
      <c r="F86" s="215"/>
      <c r="H86" s="171">
        <f>H85*Data!C4/Common_Shares</f>
        <v>2.4773470644729629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1.3128237633124634E-2</v>
      </c>
      <c r="D87" s="215"/>
      <c r="E87" s="233">
        <f>E86*Exchange_Rate/Dashboard!G3</f>
        <v>1.3128237633124634E-2</v>
      </c>
      <c r="F87" s="215"/>
      <c r="H87" s="233">
        <f>H86*Exchange_Rate/Dashboard!G3</f>
        <v>1.3128237633124634E-2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</v>
      </c>
      <c r="D88" s="168">
        <f>C88/C86</f>
        <v>0</v>
      </c>
      <c r="E88" s="201">
        <f>H88</f>
        <v>0</v>
      </c>
      <c r="F88" s="168">
        <f>E88/E86</f>
        <v>0</v>
      </c>
      <c r="H88" s="173">
        <f>Inputs!F6</f>
        <v>0</v>
      </c>
      <c r="I88" s="168">
        <f>H88/H86</f>
        <v>0</v>
      </c>
      <c r="K88" s="24"/>
    </row>
    <row r="89" spans="1:11" ht="15" customHeight="1" x14ac:dyDescent="0.15">
      <c r="B89" s="87" t="s">
        <v>231</v>
      </c>
      <c r="C89" s="162">
        <f>C88*Exchange_Rate/Dashboard!G3</f>
        <v>0</v>
      </c>
      <c r="D89" s="215"/>
      <c r="E89" s="162">
        <f>E88*Exchange_Rate/Dashboard!G3</f>
        <v>0</v>
      </c>
      <c r="F89" s="215"/>
      <c r="H89" s="162">
        <f>H88*Exchange_Rate/Dashboard!G3</f>
        <v>0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40.064988109730251</v>
      </c>
      <c r="H93" s="87" t="s">
        <v>217</v>
      </c>
      <c r="I93" s="145">
        <f>FV(H87,D93,0,-(H86/C93))</f>
        <v>40.064988109730251</v>
      </c>
      <c r="K93" s="24"/>
    </row>
    <row r="94" spans="1:11" ht="15" customHeight="1" x14ac:dyDescent="0.15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0</v>
      </c>
      <c r="H94" s="87" t="s">
        <v>218</v>
      </c>
      <c r="I94" s="145">
        <f>FV(H89,D93,0,-(H88/C93))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247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5292476.6424010284</v>
      </c>
      <c r="D97" s="219"/>
      <c r="E97" s="123">
        <f>PV(C93,D93,0,-F93)*Exchange_Rate</f>
        <v>31.434224477886829</v>
      </c>
      <c r="F97" s="219"/>
      <c r="H97" s="123">
        <f>PV(C93,D93,0,-I93)*Exchange_Rate</f>
        <v>31.434224477886829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20"/>
      <c r="E99" s="147">
        <f>IF(H99&gt;0,H99*0.85,H99*1.15)</f>
        <v>0</v>
      </c>
      <c r="F99" s="220"/>
      <c r="H99" s="147">
        <f>C99*Data!$C$4/Common_Shares</f>
        <v>0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5292476.6424010284</v>
      </c>
      <c r="D100" s="109">
        <f>F100*(1-C94)</f>
        <v>26.719090806203805</v>
      </c>
      <c r="E100" s="109">
        <f>MAX(E97-H98+E99,0)</f>
        <v>31.434224477886829</v>
      </c>
      <c r="F100" s="109">
        <f>(E100+H100)/2</f>
        <v>31.434224477886829</v>
      </c>
      <c r="H100" s="109">
        <f>MAX(C100*Data!$C$4/Common_Shares,0)</f>
        <v>31.434224477886829</v>
      </c>
      <c r="I100" s="109">
        <f>F100*1.25</f>
        <v>39.292780597358536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247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0</v>
      </c>
      <c r="D103" s="109">
        <f>F103*(1-C94)</f>
        <v>0</v>
      </c>
      <c r="E103" s="123">
        <f>PV(C93,D93,0,-F94)*Exchange_Rate</f>
        <v>0</v>
      </c>
      <c r="F103" s="109">
        <f>(E103+H103)/2</f>
        <v>0</v>
      </c>
      <c r="H103" s="123">
        <f>PV(C93,D93,0,-I94)*Exchange_Rate</f>
        <v>0</v>
      </c>
      <c r="I103" s="109">
        <f>F103*1.25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247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2646238.3212005142</v>
      </c>
      <c r="D106" s="109">
        <f>(D100+D103)/2</f>
        <v>13.359545403101903</v>
      </c>
      <c r="E106" s="123">
        <f>(E100+E103)/2</f>
        <v>15.717112238943415</v>
      </c>
      <c r="F106" s="109">
        <f>(F100+F103)/2</f>
        <v>15.717112238943415</v>
      </c>
      <c r="H106" s="123">
        <f>(H100+H103)/2</f>
        <v>15.717112238943415</v>
      </c>
      <c r="I106" s="123">
        <f>(I100+I103)/2</f>
        <v>19.646390298679268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2024-11-24T05:05:10Z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