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28E9F7F-4829-45A7-B11F-8F839A5C19F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7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<sst xmlns="http://schemas.openxmlformats.org/spreadsheetml/2006/main" count="391" uniqueCount="269">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</sst>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0.8470171903697109</c:v>
                </c:pt>
                <c:pt idx="1">
                  <c:v>0.13310064677721414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1.9882162853074953E-2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10071700480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1.2847859019839765E-2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105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247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0175.HK</v>
      </c>
      <c r="D3" s="278"/>
      <c r="E3" s="87"/>
      <c r="F3" s="3" t="s">
        <v>1</v>
      </c>
      <c r="G3" s="132">
        <v>15.84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吉利汽車</v>
      </c>
      <c r="D4" s="280"/>
      <c r="E4" s="87"/>
      <c r="F4" s="3" t="s">
        <v>2</v>
      </c>
      <c r="G4" s="283">
        <f>Inputs!C10</f>
        <v>10071700480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159535.73560320001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0.8470171903697109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0.13310064677721414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55.800670596759048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0.71691914903967835</v>
      </c>
    </row>
    <row r="26" spans="1:8" ht="15.75" customHeight="1" x14ac:dyDescent="0.4">
      <c r="B26" s="138" t="s">
        <v>173</v>
      </c>
      <c r="C26" s="171">
        <f>Fin_Analysis!I83</f>
        <v>1.9882162853074953E-2</v>
      </c>
      <c r="F26" s="141" t="s">
        <v>193</v>
      </c>
      <c r="G26" s="178">
        <f>Fin_Analysis!H88*Exchange_Rate/G3</f>
        <v>1.2847859019839765E-2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2.3729217937737972</v>
      </c>
      <c r="D29" s="129">
        <f>G29*(1+G20)</f>
        <v>4.4926675773503293</v>
      </c>
      <c r="E29" s="87"/>
      <c r="F29" s="131">
        <f>IF(Fin_Analysis!C108="Profit",Fin_Analysis!F100,IF(Fin_Analysis!C108="Dividend",Fin_Analysis!F103,Fin_Analysis!F106))</f>
        <v>2.7916726985574085</v>
      </c>
      <c r="G29" s="274">
        <f>IF(Fin_Analysis!C108="Profit",Fin_Analysis!I100,IF(Fin_Analysis!C108="Dividend",Fin_Analysis!I103,Fin_Analysis!I106))</f>
        <v>3.9066674585655039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0.8470171903697109</v>
      </c>
      <c r="D42" s="156">
        <f t="shared" si="34"/>
        <v>0.85877952995082674</v>
      </c>
      <c r="E42" s="156">
        <f t="shared" si="34"/>
        <v>0.82863838163437653</v>
      </c>
      <c r="F42" s="156">
        <f t="shared" si="34"/>
        <v>0.84001304342001537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0.13310064677721414</v>
      </c>
      <c r="D43" s="153">
        <f t="shared" si="35"/>
        <v>0.12381385940115817</v>
      </c>
      <c r="E43" s="153">
        <f t="shared" si="35"/>
        <v>0.14004668940749912</v>
      </c>
      <c r="F43" s="153">
        <f t="shared" si="35"/>
        <v>0.11723000089085382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1.9882162853074953E-2</v>
      </c>
      <c r="D48" s="153">
        <f t="shared" si="40"/>
        <v>1.7406610648015131E-2</v>
      </c>
      <c r="E48" s="153">
        <f t="shared" si="40"/>
        <v>3.1314928958124398E-2</v>
      </c>
      <c r="F48" s="153">
        <f t="shared" si="40"/>
        <v>4.2756955689130793E-2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95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160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1.7920931582103259E-2</v>
      </c>
      <c r="D87" s="209"/>
      <c r="E87" s="262">
        <f>E86*Exchange_Rate/Dashboard!G3</f>
        <v>1.7920931582103259E-2</v>
      </c>
      <c r="F87" s="209"/>
      <c r="H87" s="262">
        <f>H86*Exchange_Rate/Dashboard!G3</f>
        <v>1.7920931582103259E-2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221</v>
      </c>
      <c r="C89" s="261">
        <f>C88*Exchange_Rate/Dashboard!G3</f>
        <v>1.2847859019839765E-2</v>
      </c>
      <c r="D89" s="209"/>
      <c r="E89" s="261">
        <f>E88*Exchange_Rate/Dashboard!G3</f>
        <v>1.2847859019839765E-2</v>
      </c>
      <c r="F89" s="209"/>
      <c r="H89" s="261">
        <f>H88*Exchange_Rate/Dashboard!G3</f>
        <v>1.2847859019839765E-2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5.6150509473909631</v>
      </c>
      <c r="H93" s="87" t="s">
        <v>209</v>
      </c>
      <c r="I93" s="144">
        <f>FV(H87,D93,0,-(H86/(C93-D94)))*Exchange_Rate</f>
        <v>5.6150509473909631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3.9262208894163408</v>
      </c>
      <c r="H94" s="87" t="s">
        <v>210</v>
      </c>
      <c r="I94" s="144">
        <f>FV(H89,D93,0,-(H88/(C93-D94)))*Exchange_Rate</f>
        <v>3.9262208894163408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28116891.258063544</v>
      </c>
      <c r="D97" s="213"/>
      <c r="E97" s="123">
        <f>PV(C94,D93,0,-F93)</f>
        <v>2.7916726985574085</v>
      </c>
      <c r="F97" s="213"/>
      <c r="H97" s="123">
        <f>PV(C94,D93,0,-I93)</f>
        <v>2.7916726985574085</v>
      </c>
      <c r="I97" s="123">
        <f>PV(C93,D93,0,-I93)</f>
        <v>3.9066674585655039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28116891.258063544</v>
      </c>
      <c r="D100" s="109">
        <f>MIN(F100*(1-C94),E100)</f>
        <v>2.3729217937737972</v>
      </c>
      <c r="E100" s="109">
        <f>MAX(E97+H98+E99,0)</f>
        <v>2.7916726985574085</v>
      </c>
      <c r="F100" s="109">
        <f>(E100+H100)/2</f>
        <v>2.7916726985574085</v>
      </c>
      <c r="H100" s="109">
        <f>MAX(C100*Data!$C$4/Common_Shares,0)</f>
        <v>2.7916726985574085</v>
      </c>
      <c r="I100" s="109">
        <f>MAX(I97+H98+H99,0)</f>
        <v>3.9066674585655039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19660218.017104734</v>
      </c>
      <c r="D103" s="109">
        <f>MIN(F103*(1-C94),E103)</f>
        <v>1.6592218312809697</v>
      </c>
      <c r="E103" s="123">
        <f>PV(C94,D93,0,-F94)</f>
        <v>1.9520256838599643</v>
      </c>
      <c r="F103" s="109">
        <f>(E103+H103)/2</f>
        <v>1.9520256838599643</v>
      </c>
      <c r="H103" s="123">
        <f>PV(C94,D93,0,-I94)</f>
        <v>1.9520256838599643</v>
      </c>
      <c r="I103" s="109">
        <f>PV(C93,D93,0,-I94)</f>
        <v>2.7316652204108576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23888554.637584139</v>
      </c>
      <c r="D106" s="109">
        <f>(D100+D103)/2</f>
        <v>2.0160718125273833</v>
      </c>
      <c r="E106" s="123">
        <f>(E100+E103)/2</f>
        <v>2.3718491912086863</v>
      </c>
      <c r="F106" s="109">
        <f>(F100+F103)/2</f>
        <v>2.3718491912086863</v>
      </c>
      <c r="H106" s="123">
        <f>(H100+H103)/2</f>
        <v>2.3718491912086863</v>
      </c>
      <c r="I106" s="123">
        <f>(I100+I103)/2</f>
        <v>3.3191663394881807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