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ACD2D5-6E4D-45A7-825E-E57D84506FA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M52" i="2"/>
  <c r="F96" i="4" l="1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H106" i="3" s="1"/>
  <c r="I106" i="3"/>
  <c r="G29" i="1"/>
  <c r="D29" i="1" s="1"/>
  <c r="F100" i="3" l="1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<sst xmlns="http://schemas.openxmlformats.org/spreadsheetml/2006/main" count="391" uniqueCount="272">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</sst>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267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259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268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269</v>
      </c>
      <c r="D19" s="24"/>
    </row>
    <row r="20" spans="2:13" ht="13.9" x14ac:dyDescent="0.4">
      <c r="B20" s="241" t="s">
        <v>229</v>
      </c>
      <c r="C20" s="242" t="s">
        <v>269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270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260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>
        <f>IF(C44="","",C44*Exchange_Rate/Dashboard!$G$3)</f>
        <v>9.4182825484764532E-2</v>
      </c>
      <c r="D45" s="152">
        <f>IF(D44="","",D44*Exchange_Rate/Dashboard!$G$3)</f>
        <v>7.6177285318559565E-2</v>
      </c>
      <c r="E45" s="152">
        <f>IF(E44="","",E44*Exchange_Rate/Dashboard!$G$3)</f>
        <v>7.6177285318559565E-2</v>
      </c>
      <c r="F45" s="152">
        <f>IF(F44="","",F44*Exchange_Rate/Dashboard!$G$3)</f>
        <v>6.9252077562326875E-2</v>
      </c>
      <c r="G45" s="152">
        <f>IF(G44="","",G44*Exchange_Rate/Dashboard!$G$3)</f>
        <v>6.9252077562326875E-2</v>
      </c>
      <c r="H45" s="152">
        <f>IF(H44="","",H44*Exchange_Rate/Dashboard!$G$3)</f>
        <v>7.9639889196675903E-2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277674</v>
      </c>
      <c r="D72" s="248">
        <v>0</v>
      </c>
      <c r="E72" s="249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15325962</v>
      </c>
      <c r="D91" s="209"/>
      <c r="E91" s="251">
        <f>C91*0.8</f>
        <v>12260769.600000001</v>
      </c>
      <c r="F91" s="251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59">
        <f>C94/C91</f>
        <v>3.8885650375487034E-3</v>
      </c>
      <c r="E94" s="253"/>
      <c r="F94" s="252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14.44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六福珠宝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8477.8373539999993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0.72762956087193742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0.65904108956709706</v>
      </c>
    </row>
    <row r="24" spans="1:8" ht="15.75" customHeight="1" x14ac:dyDescent="0.4">
      <c r="B24" s="137" t="s">
        <v>171</v>
      </c>
      <c r="C24" s="171">
        <f>Fin_Analysis!I81</f>
        <v>3.8885650375487034E-3</v>
      </c>
      <c r="F24" s="140" t="s">
        <v>262</v>
      </c>
      <c r="G24" s="268">
        <f>G3/(Fin_Analysis!H86*G7)</f>
        <v>10.092212744380079</v>
      </c>
    </row>
    <row r="25" spans="1:8" ht="15.75" customHeight="1" x14ac:dyDescent="0.4">
      <c r="B25" s="137" t="s">
        <v>246</v>
      </c>
      <c r="C25" s="171">
        <f>Fin_Analysis!I82</f>
        <v>0.01</v>
      </c>
      <c r="F25" s="140" t="s">
        <v>175</v>
      </c>
      <c r="G25" s="171">
        <f>Fin_Analysis!I88</f>
        <v>0.76879736972424439</v>
      </c>
    </row>
    <row r="26" spans="1:8" ht="15.75" customHeight="1" x14ac:dyDescent="0.4">
      <c r="B26" s="138" t="s">
        <v>174</v>
      </c>
      <c r="C26" s="171">
        <f>Fin_Analysis!I83</f>
        <v>7.3081874090513851E-2</v>
      </c>
      <c r="F26" s="141" t="s">
        <v>194</v>
      </c>
      <c r="G26" s="178">
        <f>Fin_Analysis!H88*Exchange_Rate/G3</f>
        <v>7.6177285318559565E-2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261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14.982712660261091</v>
      </c>
      <c r="D29" s="129">
        <f>G29*(1+G20)</f>
        <v>33.13148126790788</v>
      </c>
      <c r="E29" s="87"/>
      <c r="F29" s="131">
        <f>IF(Fin_Analysis!C108="Profit",Fin_Analysis!F100,IF(Fin_Analysis!C108="Dividend",Fin_Analysis!F103,Fin_Analysis!F106))</f>
        <v>17.772557512443676</v>
      </c>
      <c r="G29" s="274">
        <f>IF(Fin_Analysis!C108="Profit",Fin_Analysis!I100,IF(Fin_Analysis!C108="Dividend",Fin_Analysis!I103,Fin_Analysis!I106))</f>
        <v>28.809983711224245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1.7341358408692387E-2</v>
      </c>
      <c r="D50" s="156">
        <f t="shared" si="41"/>
        <v>1.7851543232655226E-2</v>
      </c>
      <c r="E50" s="156">
        <f t="shared" si="41"/>
        <v>1.5992004636642819E-2</v>
      </c>
      <c r="F50" s="156">
        <f t="shared" si="41"/>
        <v>3.1297541510393184E-2</v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0.63110270011109249</v>
      </c>
      <c r="D51" s="153">
        <f t="shared" si="42"/>
        <v>0.73908217538982812</v>
      </c>
      <c r="E51" s="153">
        <f t="shared" si="42"/>
        <v>0.74709926550990846</v>
      </c>
      <c r="F51" s="153">
        <f t="shared" si="42"/>
        <v>0.82624277267477186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>
        <f>IF(D6="","",C16/(C6-D6))</f>
        <v>0.18714483778648183</v>
      </c>
      <c r="D52" s="153">
        <f t="shared" ref="D52:M52" si="43">IF(E6="","",D16/(D6-E6))</f>
        <v>1.4668285834503272</v>
      </c>
      <c r="E52" s="153">
        <f t="shared" si="43"/>
        <v>0.3633800202192411</v>
      </c>
      <c r="F52" s="153">
        <f t="shared" si="43"/>
        <v>0.34507864490338203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0.23674800333023538</v>
      </c>
      <c r="D54" s="156">
        <f t="shared" ref="D54:M54" si="44">IF(D36="","",(D27-D36)/D27)</f>
        <v>0.1813687183432823</v>
      </c>
      <c r="E54" s="156">
        <f t="shared" si="44"/>
        <v>0.2553435457821322</v>
      </c>
      <c r="F54" s="156">
        <f t="shared" si="44"/>
        <v>0.21966692619831024</v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0.4770507174230757</v>
      </c>
      <c r="D55" s="157">
        <f t="shared" si="45"/>
        <v>0.6565297651536719</v>
      </c>
      <c r="E55" s="157">
        <f t="shared" si="45"/>
        <v>-6.0376151204880865E-2</v>
      </c>
      <c r="F55" s="157">
        <f t="shared" si="45"/>
        <v>0.67817467889821803</v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6.1391011793840093E-2</v>
      </c>
      <c r="D56" s="153">
        <f t="shared" si="46"/>
        <v>2.8673859874687374E-2</v>
      </c>
      <c r="E56" s="153">
        <f t="shared" si="46"/>
        <v>-0.21973077106026734</v>
      </c>
      <c r="F56" s="153">
        <f t="shared" si="46"/>
        <v>3.7580912490105083E-2</v>
      </c>
      <c r="G56" s="153">
        <f t="shared" si="46"/>
        <v>5.5333299607483753E-2</v>
      </c>
      <c r="H56" s="153">
        <f t="shared" si="46"/>
        <v>2.1841264578165751E-2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3.5066755118062995</v>
      </c>
      <c r="D57" s="158">
        <f t="shared" si="47"/>
        <v>4.8543433811852026</v>
      </c>
      <c r="E57" s="158">
        <f t="shared" si="47"/>
        <v>3.3265242212912804</v>
      </c>
      <c r="F57" s="158">
        <f t="shared" si="47"/>
        <v>3.9815520169188523</v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2034922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15325962</v>
      </c>
      <c r="I74" s="209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11151623</v>
      </c>
      <c r="I75" s="160">
        <f>H75/$H$74</f>
        <v>0.72762956087193742</v>
      </c>
      <c r="K75" s="24"/>
    </row>
    <row r="76" spans="1:11" ht="15" customHeight="1" x14ac:dyDescent="0.4">
      <c r="B76" s="35" t="s">
        <v>96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4174339</v>
      </c>
      <c r="I76" s="210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2534914.1148000001</v>
      </c>
      <c r="I77" s="160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1639424.8851999999</v>
      </c>
      <c r="I79" s="258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59">
        <f>C80/$C$74</f>
        <v>4.0883763120383568E-2</v>
      </c>
      <c r="E80" s="180">
        <f>E74*F80</f>
        <v>245215.39200000002</v>
      </c>
      <c r="F80" s="160">
        <f>I80</f>
        <v>0.02</v>
      </c>
      <c r="H80" s="238">
        <f>Inputs!F96</f>
        <v>306519.24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59596</v>
      </c>
      <c r="I81" s="160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153259.62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1120050.0251999998</v>
      </c>
      <c r="I83" s="164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840037.51889999979</v>
      </c>
      <c r="I85" s="258">
        <f>H85/$H$74</f>
        <v>5.4811405567885385E-2</v>
      </c>
      <c r="K85" s="24"/>
    </row>
    <row r="86" spans="1:11" ht="15" customHeight="1" x14ac:dyDescent="0.4">
      <c r="B86" s="87" t="s">
        <v>161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1.4308061438796973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8.5879301477337591E-2</v>
      </c>
      <c r="D87" s="209"/>
      <c r="E87" s="262">
        <f>E86*Exchange_Rate/Dashboard!G3</f>
        <v>7.9269038442088616E-2</v>
      </c>
      <c r="F87" s="209"/>
      <c r="H87" s="262">
        <f>H86*Exchange_Rate/Dashboard!G3</f>
        <v>9.9086298052610614E-2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0.76879736972424439</v>
      </c>
      <c r="K88" s="24"/>
    </row>
    <row r="89" spans="1:11" ht="15" customHeight="1" x14ac:dyDescent="0.4">
      <c r="B89" s="87" t="s">
        <v>222</v>
      </c>
      <c r="C89" s="261">
        <f>C88*Exchange_Rate/Dashboard!G3</f>
        <v>9.4182825484764532E-2</v>
      </c>
      <c r="D89" s="209"/>
      <c r="E89" s="261">
        <f>E88*Exchange_Rate/Dashboard!G3</f>
        <v>6.9252077562326875E-2</v>
      </c>
      <c r="F89" s="209"/>
      <c r="H89" s="261">
        <f>H88*Exchange_Rate/Dashboard!G3</f>
        <v>7.6177285318559565E-2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30.338010199261845</v>
      </c>
      <c r="H93" s="87" t="s">
        <v>210</v>
      </c>
      <c r="I93" s="144">
        <f>FV(H87,D93,0,-(H86/(C93-D94)))*Exchange_Rate</f>
        <v>41.534356137747977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25.296954025690511</v>
      </c>
      <c r="H94" s="87" t="s">
        <v>211</v>
      </c>
      <c r="I94" s="144">
        <f>FV(H89,D93,0,-(H88/(C93-D94)))*Exchange_Rate</f>
        <v>28.739519905523885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12123727.543130638</v>
      </c>
      <c r="D97" s="213"/>
      <c r="E97" s="123">
        <f>PV(C94,D93,0,-F93)</f>
        <v>15.083352866315225</v>
      </c>
      <c r="F97" s="213"/>
      <c r="H97" s="123">
        <f>PV(C94,D93,0,-I93)</f>
        <v>20.649915587282027</v>
      </c>
      <c r="I97" s="123">
        <f>PV(C93,D93,0,-I93)</f>
        <v>28.897496933880014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12072347.843130639</v>
      </c>
      <c r="D100" s="109">
        <f>MIN(F100*(1-C94),E100)</f>
        <v>14.982712660261091</v>
      </c>
      <c r="E100" s="109">
        <f>MAX(E97+H98+E99,0)</f>
        <v>14.982712660261091</v>
      </c>
      <c r="F100" s="109">
        <f>(E100+H100)/2</f>
        <v>17.772557512443676</v>
      </c>
      <c r="H100" s="109">
        <f>MAX(C100*Data!$C$4/Common_Shares,0)</f>
        <v>20.562402364626259</v>
      </c>
      <c r="I100" s="109">
        <f>MAX(I97+H98+H99,0)</f>
        <v>28.809983711224245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8388961.3672928661</v>
      </c>
      <c r="D103" s="109">
        <f>MIN(F103*(1-C94),E103)</f>
        <v>11.417913020864736</v>
      </c>
      <c r="E103" s="123">
        <f>PV(C94,D93,0,-F94)</f>
        <v>12.57705701548374</v>
      </c>
      <c r="F103" s="109">
        <f>(E103+H103)/2</f>
        <v>13.432838848076161</v>
      </c>
      <c r="H103" s="123">
        <f>PV(C94,D93,0,-I94)</f>
        <v>14.288620680668581</v>
      </c>
      <c r="I103" s="109">
        <f>PV(C93,D93,0,-I94)</f>
        <v>19.995499282490876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8090278.5604108721</v>
      </c>
      <c r="D106" s="109">
        <f>(D100+D103)/2</f>
        <v>13.200312840562914</v>
      </c>
      <c r="E106" s="123">
        <f>(E100+E103)/2</f>
        <v>13.779884837872416</v>
      </c>
      <c r="F106" s="109">
        <f>(F100+F103)/2</f>
        <v>15.602698180259917</v>
      </c>
      <c r="H106" s="123">
        <f>(H100+H103)/2</f>
        <v>17.425511522647419</v>
      </c>
      <c r="I106" s="123">
        <f>(I100+I103)/2</f>
        <v>24.402741496857558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