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5F507C1-682F-4897-A6EC-29453D3DE2C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E95" i="4" l="1"/>
  <c r="F96" i="4"/>
  <c r="F95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<sst xmlns="http://schemas.openxmlformats.org/spreadsheetml/2006/main" count="391" uniqueCount="272">
  <si>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</si>
  <si>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</si>
  <si>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</si>
  <si>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</si>
  <si>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</si>
  <si>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</si>
  <si>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</si>
  <si>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</si>
  <si>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</si>
  <si>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</si>
  <si>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</si>
  <si>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</si>
  <si>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</si>
  <si>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</si>
  <si>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</si>
  <si>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</si>
  <si>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</si>
  <si>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</si>
  <si>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</si>
  <si>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</si>
  <si>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</si>
  <si>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</si>
  <si>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</si>
  <si>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</si>
  <si>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</si>
  <si>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</si>
  <si>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</si>
  <si>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</si>
  <si>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</si>
  <si>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</si>
  <si>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</si>
  <si>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</si>
  <si>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</si>
  <si>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</si>
  <si>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</si>
  <si>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</si>
  <si>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</si>
  <si>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</si>
  <si>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</si>
  <si>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</si>
  <si>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</si>
  <si>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</si>
  <si>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</si>
  <si>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</si>
  <si>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</si>
  <si>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</si>
  <si>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</si>
  <si>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</si>
  <si>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</si>
  <si>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</si>
  <si>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</si>
  <si>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</si>
  <si>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</si>
  <si>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</si>
  <si>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</si>
  <si>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</si>
  <si>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</si>
  <si>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</si>
  <si>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</si>
  <si>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</si>
  <si>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</si>
  <si>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</si>
  <si>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</si>
  <si>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</si>
  <si>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</si>
  <si>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</si>
  <si>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</si>
  <si>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</si>
  <si>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</si>
  <si>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</si>
  <si>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</si>
  <si>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</si>
  <si>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</si>
  <si>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</si>
  <si>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</si>
  <si>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</si>
  <si>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</si>
  <si>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</si>
  <si>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</si>
  <si>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</si>
  <si>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</si>
  <si>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</si>
  <si>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</si>
  <si>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</si>
  <si>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</si>
  <si>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</si>
  <si>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</si>
  <si>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</si>
  <si>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</si>
  <si>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</si>
  <si>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</si>
  <si>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</si>
  <si>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</si>
  <si>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</si>
  <si>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</si>
  <si>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</si>
  <si>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</si>
  <si>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</si>
  <si>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</si>
  <si>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</si>
  <si>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</si>
  <si>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</si>
  <si>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</si>
  <si>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</si>
  <si>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</si>
  <si>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</si>
  <si>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</si>
  <si>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</si>
  <si>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</si>
  <si>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</si>
  <si>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</si>
  <si>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</si>
  <si>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</si>
  <si>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</si>
  <si>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</si>
  <si>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</si>
  <si>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</si>
  <si>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</si>
  <si>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</si>
  <si>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</si>
  <si>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</si>
  <si>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</si>
  <si>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</si>
  <si>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</si>
  <si>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</si>
  <si>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</si>
  <si>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</si>
  <si>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</si>
  <si>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</si>
  <si>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</si>
  <si>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</si>
  <si>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</si>
  <si>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</si>
  <si>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</si>
  <si>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</si>
  <si>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</si>
  <si>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</si>
  <si>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</si>
  <si>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</si>
  <si>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</si>
  <si>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</si>
  <si>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</si>
  <si>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</si>
  <si>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</si>
  <si>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</si>
  <si>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</si>
  <si>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</si>
  <si>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</si>
  <si>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</si>
  <si>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</si>
  <si>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</si>
  <si>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</si>
  <si>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</si>
  <si>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</si>
  <si>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</si>
  <si>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</si>
  <si>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</si>
  <si>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</si>
  <si>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</si>
  <si>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</si>
  <si>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</si>
  <si>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</si>
  <si>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</si>
  <si>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</si>
  <si>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</si>
  <si>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</si>
  <si>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</si>
  <si>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</si>
  <si>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</si>
  <si>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</si>
  <si>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</si>
  <si>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</si>
  <si>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</si>
  <si>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</si>
  <si>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</si>
  <si>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</si>
  <si>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</si>
  <si>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</si>
  <si>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</si>
  <si>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</si>
  <si>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</si>
  <si>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</si>
  <si>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</si>
  <si>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</si>
  <si>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</si>
  <si>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</si>
  <si>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</si>
  <si>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</si>
  <si>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</si>
  <si>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</si>
  <si>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</si>
  <si>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</si>
  <si>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</si>
  <si>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</si>
  <si>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</si>
  <si>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</si>
  <si>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</si>
  <si>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</si>
  <si>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</si>
  <si>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</si>
  <si>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</si>
  <si>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</si>
  <si>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</si>
  <si>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</si>
  <si>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</si>
  <si>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</si>
  <si>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</si>
  <si>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</si>
  <si>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</si>
  <si>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</si>
  <si>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</si>
  <si>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</si>
  <si>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</si>
  <si>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</si>
  <si>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</si>
  <si>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</si>
  <si>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</si>
  <si>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</si>
  <si>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</si>
  <si>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</si>
  <si>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</si>
  <si>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</si>
  <si>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</si>
  <si>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</si>
  <si>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</si>
  <si>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</si>
  <si>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</si>
  <si>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</si>
  <si>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</si>
  <si>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</si>
  <si>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</si>
  <si>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</si>
  <si>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</si>
  <si>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</si>
  <si>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</si>
  <si>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</si>
  <si>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</si>
  <si>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</si>
  <si>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</si>
  <si>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</si>
  <si>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</si>
  <si>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</si>
  <si>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</si>
  <si>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</si>
  <si>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</si>
  <si>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</si>
  <si>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</si>
  <si>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</si>
  <si>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</si>
  <si>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</si>
  <si>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</si>
  <si>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</si>
  <si>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</si>
  <si>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</si>
  <si>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</si>
  <si>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</si>
  <si>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</si>
  <si>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</si>
  <si>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</si>
  <si>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</si>
  <si>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</si>
  <si>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</si>
  <si>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0939.HK</t>
  </si>
  <si>
    <t>建设银行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</si>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</sst>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0.47700776116848903</c:v>
                </c:pt>
                <c:pt idx="1">
                  <c:v>0.15697168260849415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0.36602055622301682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250010977486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1402495</v>
      </c>
      <c r="D25" s="149">
        <v>1324203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669001</v>
      </c>
      <c r="D26" s="150">
        <v>567720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220152</v>
      </c>
      <c r="D27" s="150">
        <v>219991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-193</v>
      </c>
      <c r="D30" s="150">
        <v>136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11972903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213823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8852611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2466431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241133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12220942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-498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3475378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0.4+0.197</f>
        <v>0.59699999999999998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0.10252581842446977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3339708</v>
      </c>
      <c r="D48" s="60">
        <v>0.9</v>
      </c>
      <c r="E48" s="112"/>
    </row>
    <row r="49" spans="2:5" ht="13.9" x14ac:dyDescent="0.4">
      <c r="B49" s="1" t="s">
        <v>135</v>
      </c>
      <c r="C49" s="59">
        <v>683021</v>
      </c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>
        <v>2962684</v>
      </c>
      <c r="D51" s="60">
        <v>0.6</v>
      </c>
      <c r="E51" s="112"/>
    </row>
    <row r="52" spans="2:5" ht="13.9" x14ac:dyDescent="0.4">
      <c r="B52" s="3" t="s">
        <v>43</v>
      </c>
      <c r="C52" s="59">
        <v>6961515</v>
      </c>
      <c r="D52" s="60">
        <v>0.5</v>
      </c>
      <c r="E52" s="112"/>
    </row>
    <row r="53" spans="2:5" ht="13.9" x14ac:dyDescent="0.4">
      <c r="B53" s="1" t="s">
        <v>158</v>
      </c>
      <c r="C53" s="59">
        <v>25589624</v>
      </c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82672</v>
      </c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21347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4094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181735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5722</v>
      </c>
      <c r="D70" s="60">
        <v>0.05</v>
      </c>
      <c r="E70" s="112"/>
    </row>
    <row r="71" spans="2:5" ht="13.9" x14ac:dyDescent="0.4">
      <c r="B71" s="3" t="s">
        <v>74</v>
      </c>
      <c r="C71" s="59">
        <v>118797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343468</v>
      </c>
      <c r="D72" s="248">
        <v>0</v>
      </c>
      <c r="E72" s="249"/>
    </row>
    <row r="73" spans="2:5" ht="13.9" x14ac:dyDescent="0.4">
      <c r="B73" s="3" t="s">
        <v>38</v>
      </c>
      <c r="C73" s="59">
        <v>33710837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2498474</v>
      </c>
    </row>
    <row r="77" spans="2:5" ht="14.25" thickBot="1" x14ac:dyDescent="0.45">
      <c r="B77" s="80" t="s">
        <v>15</v>
      </c>
      <c r="C77" s="83">
        <v>37038911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>
        <v>3234661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1402495</v>
      </c>
      <c r="D91" s="209"/>
      <c r="E91" s="251">
        <f>C91</f>
        <v>1402495</v>
      </c>
      <c r="F91" s="251">
        <f>C91</f>
        <v>1402495</v>
      </c>
    </row>
    <row r="92" spans="2:8" ht="13.9" x14ac:dyDescent="0.4">
      <c r="B92" s="104" t="s">
        <v>105</v>
      </c>
      <c r="C92" s="77">
        <f>C26</f>
        <v>669001</v>
      </c>
      <c r="D92" s="159">
        <f>C92/C91</f>
        <v>0.47700776116848903</v>
      </c>
      <c r="E92" s="252">
        <f>E91*D92</f>
        <v>669001</v>
      </c>
      <c r="F92" s="252">
        <f>F91*D92</f>
        <v>669001</v>
      </c>
    </row>
    <row r="93" spans="2:8" ht="13.9" x14ac:dyDescent="0.4">
      <c r="B93" s="104" t="s">
        <v>246</v>
      </c>
      <c r="C93" s="77">
        <f>C27+C28</f>
        <v>220152</v>
      </c>
      <c r="D93" s="159">
        <f>C93/C91</f>
        <v>0.15697168260849415</v>
      </c>
      <c r="E93" s="252">
        <f>E91*D93</f>
        <v>220152</v>
      </c>
      <c r="F93" s="252">
        <f>F91*D93</f>
        <v>220152</v>
      </c>
    </row>
    <row r="94" spans="2:8" ht="13.9" x14ac:dyDescent="0.4">
      <c r="B94" s="104" t="s">
        <v>255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0.59699999999999998</v>
      </c>
      <c r="D98" s="266"/>
      <c r="E98" s="254">
        <f>F98</f>
        <v>0.4</v>
      </c>
      <c r="F98" s="254">
        <v>0.4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0939.HK</v>
      </c>
      <c r="D3" s="278"/>
      <c r="E3" s="87"/>
      <c r="F3" s="3" t="s">
        <v>1</v>
      </c>
      <c r="G3" s="132">
        <v>6.23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建设银行</v>
      </c>
      <c r="D4" s="280"/>
      <c r="E4" s="87"/>
      <c r="F4" s="3" t="s">
        <v>2</v>
      </c>
      <c r="G4" s="283">
        <f>Inputs!C10</f>
        <v>250010977486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1557568.38973778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0.47700776116848903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0.15697168260849415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0.44718339261405238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257</v>
      </c>
      <c r="G24" s="268">
        <f>G3/(Fin_Analysis!H86*G7)</f>
        <v>3.7812213618565527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0.2597472795768383</v>
      </c>
    </row>
    <row r="26" spans="1:8" ht="15.75" customHeight="1" x14ac:dyDescent="0.4">
      <c r="B26" s="138" t="s">
        <v>173</v>
      </c>
      <c r="C26" s="171">
        <f>Fin_Analysis!I83</f>
        <v>0.36602055622301682</v>
      </c>
      <c r="F26" s="141" t="s">
        <v>193</v>
      </c>
      <c r="G26" s="178">
        <f>Fin_Analysis!H88*Exchange_Rate/G3</f>
        <v>6.8694015694787114E-2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4.1672368848404044</v>
      </c>
      <c r="D29" s="129">
        <f>G29*(1+G20)</f>
        <v>7.700030559077458</v>
      </c>
      <c r="E29" s="87"/>
      <c r="F29" s="131">
        <f>IF(Fin_Analysis!C108="Profit",Fin_Analysis!F100,IF(Fin_Analysis!C108="Dividend",Fin_Analysis!F103,Fin_Analysis!F106))</f>
        <v>4.9026316292240049</v>
      </c>
      <c r="G29" s="274">
        <f>IF(Fin_Analysis!C108="Profit",Fin_Analysis!I100,IF(Fin_Analysis!C108="Dividend",Fin_Analysis!I103,Fin_Analysis!I106))</f>
        <v>6.6956787470238774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513342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1402495</v>
      </c>
      <c r="D6" s="200">
        <f>IF(Inputs!D25="","",Inputs!D25)</f>
        <v>1324203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5.9123865449632662E-2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669001</v>
      </c>
      <c r="D8" s="199">
        <f>IF(Inputs!D26="","",Inputs!D26)</f>
        <v>567720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733494</v>
      </c>
      <c r="D9" s="151">
        <f t="shared" si="2"/>
        <v>756483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220152</v>
      </c>
      <c r="D10" s="199">
        <f>IF(Inputs!D27="","",Inputs!D27)</f>
        <v>219991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181.33333333333334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0.36602055622301682</v>
      </c>
      <c r="D13" s="229">
        <f t="shared" si="3"/>
        <v>0.40500638245545934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513342</v>
      </c>
      <c r="D14" s="230">
        <f t="shared" ref="D14:M14" si="4">IF(D6="","",D9-D10-MAX(D11,0)-MAX(D12,0))</f>
        <v>536310.66666666663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-4.282716733833368E-2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513342</v>
      </c>
      <c r="D22" s="161">
        <f t="shared" ref="D22:M22" si="8">IF(D6="","",D14-MAX(D16,0)-MAX(D17,0)-ABS(MAX(D21,0)-MAX(D19,0)))</f>
        <v>536310.66666666663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0.27451541716726263</v>
      </c>
      <c r="D23" s="153">
        <f t="shared" si="9"/>
        <v>0.30375478684159452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385006.5</v>
      </c>
      <c r="D24" s="77">
        <f>IF(D6="","",D22*(1-Fin_Analysis!$I$84))</f>
        <v>402233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-4.2827167338333749E-2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40294387</v>
      </c>
      <c r="D27" s="65">
        <f t="shared" ref="D27:M27" si="20">IF(D36="","",D36+D31+D32)</f>
        <v>14928506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39536552</v>
      </c>
      <c r="D28" s="199">
        <f>IF(Inputs!D34="","",Inputs!D34)</f>
        <v>11972903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>
        <f>IF(Inputs!D35="","",Inputs!D35)</f>
        <v>213823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>
        <f>IF(Inputs!D36="","",Inputs!D36)</f>
        <v>8852611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37038911</v>
      </c>
      <c r="D31" s="199">
        <f>IF(Inputs!D37="","",Inputs!D37)</f>
        <v>2466431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>
        <f>IF(Inputs!D38="","",Inputs!D38)</f>
        <v>241133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36209311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36209311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3255476</v>
      </c>
      <c r="D36" s="199">
        <f>IF(Inputs!D41="","",Inputs!D41)</f>
        <v>12220942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20815</v>
      </c>
      <c r="D37" s="199">
        <f>IF(Inputs!D42="","",Inputs!D42)</f>
        <v>-498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13367926</v>
      </c>
      <c r="D38" s="199">
        <f>IF(Inputs!D43="","",Inputs!D43)</f>
        <v>3475378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26926461</v>
      </c>
      <c r="D39" s="65">
        <f>IF(D38="","",D27-D38)</f>
        <v>11453128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1.9064592261121876E-2</v>
      </c>
      <c r="D40" s="155">
        <f>IF(D6="","",D14/MAX(D39,0))</f>
        <v>4.6826567088629992E-2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0.47700776116848903</v>
      </c>
      <c r="D42" s="156">
        <f t="shared" si="34"/>
        <v>0.42872580714588321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0.15697168260849415</v>
      </c>
      <c r="D43" s="153">
        <f t="shared" si="35"/>
        <v>0.16613087268341786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1.3693771523953151E-4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0.36602055622301682</v>
      </c>
      <c r="D48" s="153">
        <f t="shared" si="40"/>
        <v>0.40500638245545934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>
        <f t="shared" si="41"/>
        <v>0.16147297657534382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>
        <f t="shared" si="42"/>
        <v>6.6852370822298397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0.91920770503345783</v>
      </c>
      <c r="D54" s="156">
        <f t="shared" ref="D54:M54" si="44">IF(D36="","",(D27-D36)/D27)</f>
        <v>0.1813687183432823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1.4177071748203107E-2</v>
      </c>
      <c r="D55" s="157">
        <f t="shared" si="45"/>
        <v>5.2102382756588357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1.0674328950978067</v>
      </c>
      <c r="D57" s="158">
        <f t="shared" si="47"/>
        <v>4.8543433811852026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3255476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3234661</v>
      </c>
      <c r="K3" s="24"/>
    </row>
    <row r="4" spans="1:11" ht="15" customHeight="1" x14ac:dyDescent="0.4">
      <c r="B4" s="3" t="s">
        <v>24</v>
      </c>
      <c r="C4" s="87"/>
      <c r="D4" s="65">
        <f>D3-I3</f>
        <v>20815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1.0674328950978067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-13660076.225054119</v>
      </c>
      <c r="E6" s="56">
        <f>1-D6/D3</f>
        <v>5.1960303885066637</v>
      </c>
      <c r="F6" s="87"/>
      <c r="G6" s="87"/>
      <c r="H6" s="1" t="s">
        <v>29</v>
      </c>
      <c r="I6" s="63">
        <f>(C24+C25)/I28</f>
        <v>1.0674328950978067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0.1885966085773958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3339708</v>
      </c>
      <c r="D11" s="198">
        <f>Inputs!D48</f>
        <v>0.9</v>
      </c>
      <c r="E11" s="88">
        <f t="shared" ref="E11:E22" si="0">C11*D11</f>
        <v>3005737.2</v>
      </c>
      <c r="F11" s="112"/>
      <c r="G11" s="87"/>
      <c r="H11" s="3" t="s">
        <v>38</v>
      </c>
      <c r="I11" s="40">
        <f>Inputs!C73</f>
        <v>33710837</v>
      </c>
      <c r="J11" s="87"/>
      <c r="K11" s="24"/>
    </row>
    <row r="12" spans="1:11" ht="13.9" x14ac:dyDescent="0.4">
      <c r="B12" s="1" t="s">
        <v>135</v>
      </c>
      <c r="C12" s="40">
        <f>Inputs!C49</f>
        <v>683021</v>
      </c>
      <c r="D12" s="198">
        <f>Inputs!D49</f>
        <v>0.8</v>
      </c>
      <c r="E12" s="88">
        <f t="shared" si="0"/>
        <v>546416.80000000005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2962684</v>
      </c>
      <c r="D14" s="198">
        <f>Inputs!D51</f>
        <v>0.6</v>
      </c>
      <c r="E14" s="88">
        <f t="shared" si="0"/>
        <v>1777610.4</v>
      </c>
      <c r="F14" s="112"/>
      <c r="G14" s="87"/>
      <c r="H14" s="86" t="s">
        <v>42</v>
      </c>
      <c r="I14" s="205">
        <f>Inputs!C76</f>
        <v>2498474</v>
      </c>
      <c r="J14" s="87"/>
      <c r="K14" s="27"/>
    </row>
    <row r="15" spans="1:11" ht="13.9" x14ac:dyDescent="0.4">
      <c r="B15" s="3" t="s">
        <v>43</v>
      </c>
      <c r="C15" s="40">
        <f>Inputs!C52</f>
        <v>6961515</v>
      </c>
      <c r="D15" s="198">
        <f>Inputs!D52</f>
        <v>0.5</v>
      </c>
      <c r="E15" s="88">
        <f t="shared" si="0"/>
        <v>3480757.5</v>
      </c>
      <c r="F15" s="112"/>
      <c r="G15" s="87"/>
      <c r="H15" s="1" t="s">
        <v>53</v>
      </c>
      <c r="I15" s="84">
        <f>SUM(I11:I14)</f>
        <v>36209311</v>
      </c>
      <c r="J15" s="87"/>
    </row>
    <row r="16" spans="1:11" ht="13.9" x14ac:dyDescent="0.4">
      <c r="B16" s="1" t="s">
        <v>158</v>
      </c>
      <c r="C16" s="40">
        <f>Inputs!C53</f>
        <v>25589624</v>
      </c>
      <c r="D16" s="198">
        <f>Inputs!D53</f>
        <v>0.6</v>
      </c>
      <c r="E16" s="88">
        <f t="shared" si="0"/>
        <v>15353774.399999999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829600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6985413</v>
      </c>
      <c r="D24" s="62">
        <f>IF(E24=0,0,E24/C24)</f>
        <v>0.76298486574809543</v>
      </c>
      <c r="E24" s="88">
        <f>SUM(E11:E14)</f>
        <v>5329764.4000000004</v>
      </c>
      <c r="F24" s="113">
        <f>E24/$E$28</f>
        <v>0.22056360896385802</v>
      </c>
      <c r="G24" s="87"/>
    </row>
    <row r="25" spans="2:10" ht="15" customHeight="1" x14ac:dyDescent="0.4">
      <c r="B25" s="23" t="s">
        <v>54</v>
      </c>
      <c r="C25" s="61">
        <f>SUM(C15:C17)</f>
        <v>32551139</v>
      </c>
      <c r="D25" s="62">
        <f>IF(E25=0,0,E25/C25)</f>
        <v>0.57861360550240648</v>
      </c>
      <c r="E25" s="88">
        <f>SUM(E15:E17)</f>
        <v>18834531.899999999</v>
      </c>
      <c r="F25" s="113">
        <f>E25/$E$28</f>
        <v>0.77943639103614204</v>
      </c>
      <c r="G25" s="87"/>
      <c r="H25" s="23" t="s">
        <v>55</v>
      </c>
      <c r="I25" s="63">
        <f>E28/I28</f>
        <v>0.65240299046589134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2"/>
      <c r="G28" s="87"/>
      <c r="H28" s="78" t="s">
        <v>15</v>
      </c>
      <c r="I28" s="206">
        <f>Inputs!C77</f>
        <v>37038911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82672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21347</v>
      </c>
      <c r="D35" s="198">
        <f>Inputs!D65</f>
        <v>0.1</v>
      </c>
      <c r="E35" s="88">
        <f t="shared" si="1"/>
        <v>2134.7000000000003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4094</v>
      </c>
      <c r="D37" s="198">
        <f>Inputs!D67</f>
        <v>0.1</v>
      </c>
      <c r="E37" s="88">
        <f t="shared" si="1"/>
        <v>409.40000000000003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181735</v>
      </c>
      <c r="D38" s="198">
        <f>Inputs!D68</f>
        <v>0.1</v>
      </c>
      <c r="E38" s="88">
        <f t="shared" si="1"/>
        <v>18173.5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5722</v>
      </c>
      <c r="D40" s="198">
        <f>Inputs!D70</f>
        <v>0.05</v>
      </c>
      <c r="E40" s="88">
        <f t="shared" si="1"/>
        <v>286.10000000000002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118797</v>
      </c>
      <c r="D41" s="198">
        <f>Inputs!D71</f>
        <v>0.9</v>
      </c>
      <c r="E41" s="88">
        <f t="shared" si="1"/>
        <v>106917.3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343468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82672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21347</v>
      </c>
      <c r="D45" s="62">
        <f>IF(E45=0,0,E45/C45)</f>
        <v>0.10000000000000002</v>
      </c>
      <c r="E45" s="88">
        <f>SUM(E32:E35)</f>
        <v>2134.7000000000003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185829</v>
      </c>
      <c r="D46" s="62">
        <f>IF(E46=0,0,E46/C46)</f>
        <v>0.1</v>
      </c>
      <c r="E46" s="88">
        <f>E36+E37+E38+E39</f>
        <v>18582.900000000001</v>
      </c>
      <c r="F46" s="87"/>
      <c r="G46" s="87"/>
      <c r="H46" s="23" t="s">
        <v>80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467987</v>
      </c>
      <c r="D47" s="62">
        <f>IF(E47=0,0,E47/C47)</f>
        <v>0.22907345716868205</v>
      </c>
      <c r="E47" s="88">
        <f>E40+E41+E42</f>
        <v>107203.40000000001</v>
      </c>
      <c r="F47" s="87"/>
      <c r="G47" s="87"/>
      <c r="H47" s="23" t="s">
        <v>82</v>
      </c>
      <c r="I47" s="63">
        <f>(E44+E45+E24+E25)/$I$49</f>
        <v>0.6524606244497847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757835</v>
      </c>
      <c r="D48" s="82">
        <f>E48/C48</f>
        <v>0.16879795733899861</v>
      </c>
      <c r="E48" s="76">
        <f>SUM(E30:E42)</f>
        <v>127921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40294387</v>
      </c>
      <c r="D49" s="56">
        <f>E49/C49</f>
        <v>0.60286851615337878</v>
      </c>
      <c r="E49" s="88">
        <f>E28+E48</f>
        <v>24292217.299999997</v>
      </c>
      <c r="F49" s="87"/>
      <c r="G49" s="87"/>
      <c r="H49" s="3" t="s">
        <v>85</v>
      </c>
      <c r="I49" s="52">
        <f>I28+I48</f>
        <v>37038911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20815</v>
      </c>
      <c r="D53" s="29">
        <f>IF(E53=0, 0,E53/C53)</f>
        <v>1</v>
      </c>
      <c r="E53" s="88">
        <f>IF(C53=0,0,MAX(C53,C53*Dashboard!G23))</f>
        <v>20815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36209311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3422380</v>
      </c>
      <c r="D62" s="107">
        <f t="shared" si="2"/>
        <v>0.87825933999146799</v>
      </c>
      <c r="E62" s="118">
        <f>E11+E30</f>
        <v>3005737.2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36209311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26926461</v>
      </c>
      <c r="D68" s="29">
        <f t="shared" si="2"/>
        <v>0.59517578266226656</v>
      </c>
      <c r="E68" s="68">
        <f>E49-E63</f>
        <v>16025977.499999996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829600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26096861</v>
      </c>
      <c r="D70" s="29">
        <f t="shared" si="2"/>
        <v>0.58230671880422691</v>
      </c>
      <c r="E70" s="68">
        <f>E68-E69</f>
        <v>15196377.499999996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1402495</v>
      </c>
      <c r="D74" s="209"/>
      <c r="E74" s="238">
        <f>Inputs!E91</f>
        <v>1402495</v>
      </c>
      <c r="F74" s="209"/>
      <c r="H74" s="238">
        <f>Inputs!F91</f>
        <v>1402495</v>
      </c>
      <c r="I74" s="209"/>
      <c r="K74" s="24"/>
    </row>
    <row r="75" spans="1:11" ht="15" customHeight="1" x14ac:dyDescent="0.4">
      <c r="B75" s="104" t="s">
        <v>105</v>
      </c>
      <c r="C75" s="77">
        <f>Data!C8</f>
        <v>669001</v>
      </c>
      <c r="D75" s="159">
        <f>C75/$C$74</f>
        <v>0.47700776116848903</v>
      </c>
      <c r="E75" s="238">
        <f>Inputs!E92</f>
        <v>669001</v>
      </c>
      <c r="F75" s="160">
        <f>E75/E74</f>
        <v>0.47700776116848903</v>
      </c>
      <c r="H75" s="238">
        <f>Inputs!F92</f>
        <v>669001</v>
      </c>
      <c r="I75" s="160">
        <f>H75/$H$74</f>
        <v>0.47700776116848903</v>
      </c>
      <c r="K75" s="24"/>
    </row>
    <row r="76" spans="1:11" ht="15" customHeight="1" x14ac:dyDescent="0.4">
      <c r="B76" s="35" t="s">
        <v>95</v>
      </c>
      <c r="C76" s="161">
        <f>C74-C75</f>
        <v>733494</v>
      </c>
      <c r="D76" s="210"/>
      <c r="E76" s="162">
        <f>E74-E75</f>
        <v>733494</v>
      </c>
      <c r="F76" s="210"/>
      <c r="H76" s="162">
        <f>H74-H75</f>
        <v>733494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220152</v>
      </c>
      <c r="D77" s="159">
        <f>C77/$C$74</f>
        <v>0.15697168260849415</v>
      </c>
      <c r="E77" s="238">
        <f>Inputs!E93</f>
        <v>220152</v>
      </c>
      <c r="F77" s="160">
        <f>E77/E74</f>
        <v>0.15697168260849415</v>
      </c>
      <c r="H77" s="238">
        <f>Inputs!F93</f>
        <v>220152</v>
      </c>
      <c r="I77" s="160">
        <f>H77/$H$74</f>
        <v>0.15697168260849415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513342</v>
      </c>
      <c r="D79" s="258">
        <f>C79/C74</f>
        <v>0.36602055622301682</v>
      </c>
      <c r="E79" s="259">
        <f>E76-E77-E78</f>
        <v>513342</v>
      </c>
      <c r="F79" s="258">
        <f>E79/E74</f>
        <v>0.36602055622301682</v>
      </c>
      <c r="G79" s="260"/>
      <c r="H79" s="259">
        <f>H76-H77-H78</f>
        <v>513342</v>
      </c>
      <c r="I79" s="258">
        <f>H79/H74</f>
        <v>0.36602055622301682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513342</v>
      </c>
      <c r="D83" s="164">
        <f>C83/$C$74</f>
        <v>0.36602055622301682</v>
      </c>
      <c r="E83" s="165">
        <f>E79-E81-E82-E80</f>
        <v>513342</v>
      </c>
      <c r="F83" s="164">
        <f>E83/E74</f>
        <v>0.36602055622301682</v>
      </c>
      <c r="H83" s="165">
        <f>H79-H81-H82-H80</f>
        <v>513342</v>
      </c>
      <c r="I83" s="164">
        <f>H83/$H$74</f>
        <v>0.36602055622301682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385006.5</v>
      </c>
      <c r="D85" s="258">
        <f>C85/$C$74</f>
        <v>0.27451541716726263</v>
      </c>
      <c r="E85" s="264">
        <f>E83*(1-F84)</f>
        <v>385006.5</v>
      </c>
      <c r="F85" s="258">
        <f>E85/E74</f>
        <v>0.27451541716726263</v>
      </c>
      <c r="G85" s="260"/>
      <c r="H85" s="264">
        <f>H83*(1-I84)</f>
        <v>385006.5</v>
      </c>
      <c r="I85" s="258">
        <f>H85/$H$74</f>
        <v>0.27451541716726263</v>
      </c>
      <c r="K85" s="24"/>
    </row>
    <row r="86" spans="1:11" ht="15" customHeight="1" x14ac:dyDescent="0.4">
      <c r="B86" s="87" t="s">
        <v>160</v>
      </c>
      <c r="C86" s="167">
        <f>C85*Data!C4/Common_Shares</f>
        <v>1.5399583805137493</v>
      </c>
      <c r="D86" s="209"/>
      <c r="E86" s="168">
        <f>E85*Data!C4/Common_Shares</f>
        <v>1.5399583805137493</v>
      </c>
      <c r="F86" s="209"/>
      <c r="H86" s="168">
        <f>H85*Data!C4/Common_Shares</f>
        <v>1.5399583805137493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0.26446481290082607</v>
      </c>
      <c r="D87" s="209"/>
      <c r="E87" s="262">
        <f>E86*Exchange_Rate/Dashboard!G3</f>
        <v>0.26446481290082607</v>
      </c>
      <c r="F87" s="209"/>
      <c r="H87" s="262">
        <f>H86*Exchange_Rate/Dashboard!G3</f>
        <v>0.26446481290082607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0.59699999999999998</v>
      </c>
      <c r="D88" s="166">
        <f>C88/C86</f>
        <v>0.38767281476843118</v>
      </c>
      <c r="E88" s="170">
        <f>Inputs!E98</f>
        <v>0.4</v>
      </c>
      <c r="F88" s="166">
        <f>E88/E86</f>
        <v>0.2597472795768383</v>
      </c>
      <c r="H88" s="170">
        <f>Inputs!F98</f>
        <v>0.4</v>
      </c>
      <c r="I88" s="166">
        <f>H88/H86</f>
        <v>0.2597472795768383</v>
      </c>
      <c r="K88" s="24"/>
    </row>
    <row r="89" spans="1:11" ht="15" customHeight="1" x14ac:dyDescent="0.4">
      <c r="B89" s="87" t="s">
        <v>221</v>
      </c>
      <c r="C89" s="261">
        <f>C88*Exchange_Rate/Dashboard!G3</f>
        <v>0.10252581842446977</v>
      </c>
      <c r="D89" s="209"/>
      <c r="E89" s="261">
        <f>E88*Exchange_Rate/Dashboard!G3</f>
        <v>6.8694015694787114E-2</v>
      </c>
      <c r="F89" s="209"/>
      <c r="H89" s="261">
        <f>H88*Exchange_Rate/Dashboard!G3</f>
        <v>6.8694015694787114E-2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88.030731663835965</v>
      </c>
      <c r="H93" s="87" t="s">
        <v>209</v>
      </c>
      <c r="I93" s="144">
        <f>FV(H87,D93,0,-(H86/(C93-D94)))*Exchange_Rate</f>
        <v>88.030731663835965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9.860943365104534</v>
      </c>
      <c r="H94" s="87" t="s">
        <v>210</v>
      </c>
      <c r="I94" s="144">
        <f>FV(H89,D93,0,-(H88/(C93-D94)))*Exchange_Rate</f>
        <v>9.860943365104534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10942188.393419508</v>
      </c>
      <c r="D97" s="213"/>
      <c r="E97" s="123">
        <f>PV(C94,D93,0,-F93)</f>
        <v>43.766831774545757</v>
      </c>
      <c r="F97" s="213"/>
      <c r="H97" s="123">
        <f>PV(C94,D93,0,-I93)</f>
        <v>43.766831774545757</v>
      </c>
      <c r="I97" s="123">
        <f>PV(C93,D93,0,-I93)</f>
        <v>59.773743470867203</v>
      </c>
      <c r="K97" s="24"/>
    </row>
    <row r="98" spans="2:11" ht="15" customHeight="1" x14ac:dyDescent="0.4">
      <c r="B98" s="28" t="s">
        <v>144</v>
      </c>
      <c r="C98" s="91">
        <f>-E53*Exchange_Rate</f>
        <v>-22270.161963899929</v>
      </c>
      <c r="D98" s="213"/>
      <c r="E98" s="213"/>
      <c r="F98" s="213"/>
      <c r="H98" s="123">
        <f>C98*Data!$C$4/Common_Shares</f>
        <v>-8.9076736501088244E-2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-29896551.592254985</v>
      </c>
      <c r="D99" s="214"/>
      <c r="E99" s="145">
        <f>IF(H99&gt;0,H99*(1-C94),H99*(1+C94))</f>
        <v>-137.51809891235069</v>
      </c>
      <c r="F99" s="214"/>
      <c r="H99" s="145">
        <f>C99*Data!$C$4/Common_Shares</f>
        <v>-119.58095557595713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-18976633.36079938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1225711.7258760743</v>
      </c>
      <c r="D103" s="109">
        <f>MIN(F103*(1-C94),E103)</f>
        <v>4.1672368848404044</v>
      </c>
      <c r="E103" s="123">
        <f>PV(C94,D93,0,-F94)</f>
        <v>4.9026316292240049</v>
      </c>
      <c r="F103" s="109">
        <f>(E103+H103)/2</f>
        <v>4.9026316292240049</v>
      </c>
      <c r="H103" s="123">
        <f>PV(C94,D93,0,-I94)</f>
        <v>4.9026316292240049</v>
      </c>
      <c r="I103" s="109">
        <f>PV(C93,D93,0,-I94)</f>
        <v>6.6956787470238774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612855.86293803714</v>
      </c>
      <c r="D106" s="109">
        <f>(D100+D103)/2</f>
        <v>2.0836184424202022</v>
      </c>
      <c r="E106" s="123">
        <f>(E100+E103)/2</f>
        <v>2.4513158146120024</v>
      </c>
      <c r="F106" s="109">
        <f>(F100+F103)/2</f>
        <v>2.4513158146120024</v>
      </c>
      <c r="H106" s="123">
        <f>(H100+H103)/2</f>
        <v>2.4513158146120024</v>
      </c>
      <c r="I106" s="123">
        <f>(I100+I103)/2</f>
        <v>3.3478393735119387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