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77C59FF-1030-45A4-896A-3A736775FAC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6" i="4" l="1"/>
  <c r="E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<sst xmlns="http://schemas.openxmlformats.org/spreadsheetml/2006/main" count="391" uniqueCount="271">
  <si>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</si>
  <si>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</si>
  <si>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</si>
  <si>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</si>
  <si>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</si>
  <si>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</si>
  <si>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</si>
  <si>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</si>
  <si>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</si>
  <si>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</si>
  <si>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</si>
  <si>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</si>
  <si>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</si>
  <si>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</si>
  <si>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</si>
  <si>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</si>
  <si>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</si>
  <si>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</si>
  <si>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</si>
  <si>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</si>
  <si>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</si>
  <si>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</si>
  <si>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</si>
  <si>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</si>
  <si>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</si>
  <si>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</si>
  <si>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</si>
  <si>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</si>
  <si>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</si>
  <si>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</si>
  <si>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</si>
  <si>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</si>
  <si>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</si>
  <si>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</si>
  <si>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</si>
  <si>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</si>
  <si>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</si>
  <si>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</si>
  <si>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</si>
  <si>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</si>
  <si>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</si>
  <si>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</si>
  <si>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</si>
  <si>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</si>
  <si>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</si>
  <si>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</si>
  <si>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</si>
  <si>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</si>
  <si>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</si>
  <si>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</si>
  <si>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</si>
  <si>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</si>
  <si>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</si>
  <si>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</si>
  <si>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</si>
  <si>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</si>
  <si>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</si>
  <si>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</si>
  <si>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</si>
  <si>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</si>
  <si>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</si>
  <si>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</si>
  <si>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</si>
  <si>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</si>
  <si>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</si>
  <si>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</si>
  <si>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</si>
  <si>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</si>
  <si>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</si>
  <si>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</si>
  <si>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</si>
  <si>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</si>
  <si>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</si>
  <si>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</si>
  <si>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</si>
  <si>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</si>
  <si>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</si>
  <si>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</si>
  <si>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</si>
  <si>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</si>
  <si>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</si>
  <si>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</si>
  <si>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</si>
  <si>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</si>
  <si>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</si>
  <si>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</si>
  <si>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</si>
  <si>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</si>
  <si>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</si>
  <si>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</si>
  <si>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</si>
  <si>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</si>
  <si>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</si>
  <si>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</si>
  <si>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</si>
  <si>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</si>
  <si>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</si>
  <si>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</si>
  <si>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</si>
  <si>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</si>
  <si>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</si>
  <si>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</si>
  <si>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</si>
  <si>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</si>
  <si>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</si>
  <si>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</si>
  <si>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</si>
  <si>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</si>
  <si>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</si>
  <si>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</si>
  <si>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</si>
  <si>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</si>
  <si>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</si>
  <si>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</si>
  <si>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</si>
  <si>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</si>
  <si>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</si>
  <si>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</si>
  <si>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</si>
  <si>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</si>
  <si>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</si>
  <si>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</si>
  <si>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</si>
  <si>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</si>
  <si>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</si>
  <si>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</si>
  <si>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</si>
  <si>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</si>
  <si>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</si>
  <si>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</si>
  <si>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</si>
  <si>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</si>
  <si>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</si>
  <si>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</si>
  <si>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</si>
  <si>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</si>
  <si>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</si>
  <si>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</si>
  <si>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</si>
  <si>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</si>
  <si>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</si>
  <si>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</si>
  <si>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</si>
  <si>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</si>
  <si>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</si>
  <si>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</si>
  <si>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</si>
  <si>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</si>
  <si>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</si>
  <si>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</si>
  <si>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</si>
  <si>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</si>
  <si>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</si>
  <si>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</si>
  <si>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</si>
  <si>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</si>
  <si>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</si>
  <si>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</si>
  <si>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</si>
  <si>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</si>
  <si>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</si>
  <si>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</si>
  <si>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</si>
  <si>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</si>
  <si>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</si>
  <si>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</si>
  <si>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</si>
  <si>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</si>
  <si>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</si>
  <si>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</si>
  <si>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</si>
  <si>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</si>
  <si>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</si>
  <si>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</si>
  <si>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</si>
  <si>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</si>
  <si>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</si>
  <si>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</si>
  <si>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</si>
  <si>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</si>
  <si>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</si>
  <si>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</si>
  <si>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</si>
  <si>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</si>
  <si>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</si>
  <si>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</si>
  <si>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</si>
  <si>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</si>
  <si>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</si>
  <si>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</si>
  <si>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</si>
  <si>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</si>
  <si>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</si>
  <si>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</si>
  <si>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</si>
  <si>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</si>
  <si>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</si>
  <si>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</si>
  <si>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</si>
  <si>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</si>
  <si>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</si>
  <si>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</si>
  <si>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</si>
  <si>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</si>
  <si>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</si>
  <si>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</si>
  <si>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</si>
  <si>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</si>
  <si>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</si>
  <si>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</si>
  <si>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</si>
  <si>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</si>
  <si>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</si>
  <si>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</si>
  <si>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</si>
  <si>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</si>
  <si>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</si>
  <si>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</si>
  <si>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</si>
  <si>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</si>
  <si>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</si>
  <si>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</si>
  <si>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</si>
  <si>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</si>
  <si>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</si>
  <si>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</si>
  <si>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</si>
  <si>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</si>
  <si>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</si>
  <si>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</si>
  <si>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</si>
  <si>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</si>
  <si>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</si>
  <si>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</si>
  <si>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</si>
  <si>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</si>
  <si>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</si>
  <si>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</si>
  <si>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</si>
  <si>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</si>
  <si>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</si>
  <si>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</si>
  <si>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</si>
  <si>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</si>
  <si>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</si>
  <si>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</si>
  <si>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</si>
  <si>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</si>
  <si>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</si>
  <si>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</si>
  <si>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</si>
  <si>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</si>
  <si>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</si>
  <si>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</si>
  <si>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</si>
  <si>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</si>
  <si>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</si>
  <si>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</si>
  <si>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</si>
  <si>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</si>
  <si>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</si>
  <si>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</si>
  <si>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0941.HK</t>
  </si>
  <si>
    <t>中国移动</t>
  </si>
  <si>
    <t>Tier 3</t>
  </si>
  <si>
    <t>C0010</t>
  </si>
  <si>
    <t>CNY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</si>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</sst>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0.8668930922046667</c:v>
                </c:pt>
                <c:pt idx="2">
                  <c:v>2.2325505205376484E-4</c:v>
                </c:pt>
                <c:pt idx="3">
                  <c:v>2.2215198715160572E-2</c:v>
                </c:pt>
                <c:pt idx="4">
                  <c:v>3.6955976811858409E-3</c:v>
                </c:pt>
                <c:pt idx="5">
                  <c:v>2.5630406545468234E-2</c:v>
                </c:pt>
                <c:pt idx="6">
                  <c:v>8.1342449801464822E-2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21481669957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1009309</v>
      </c>
      <c r="D25" s="149">
        <v>937259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0</v>
      </c>
      <c r="D26" s="150">
        <v>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874963</v>
      </c>
      <c r="D27" s="150">
        <v>808160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3730</v>
      </c>
      <c r="D29" s="150">
        <v>2330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169</v>
      </c>
      <c r="D30" s="150">
        <v>135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22422</v>
      </c>
      <c r="D31" s="150">
        <v>22811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207132</v>
      </c>
      <c r="D32" s="150">
        <v>200077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181263</v>
      </c>
      <c r="D33" s="150">
        <v>189588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498104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68428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12026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558565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88107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1345985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4253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795161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2.175+2.373</f>
        <v>4.548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6.5667307302858496E-2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260</v>
      </c>
      <c r="C54" s="59"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79740</v>
      </c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1009309</v>
      </c>
      <c r="D91" s="209"/>
      <c r="E91" s="251">
        <f>C91</f>
        <v>1009309</v>
      </c>
      <c r="F91" s="251">
        <f>C91</f>
        <v>1009309</v>
      </c>
    </row>
    <row r="92" spans="2:8" ht="13.9" x14ac:dyDescent="0.4">
      <c r="B92" s="104" t="s">
        <v>105</v>
      </c>
      <c r="C92" s="77">
        <f>C26</f>
        <v>0</v>
      </c>
      <c r="D92" s="159">
        <f>C92/C91</f>
        <v>0</v>
      </c>
      <c r="E92" s="252">
        <f>E91*D92</f>
        <v>0</v>
      </c>
      <c r="F92" s="252">
        <f>F91*D92</f>
        <v>0</v>
      </c>
    </row>
    <row r="93" spans="2:8" ht="13.9" x14ac:dyDescent="0.4">
      <c r="B93" s="104" t="s">
        <v>246</v>
      </c>
      <c r="C93" s="77">
        <f>C27+C28</f>
        <v>874963</v>
      </c>
      <c r="D93" s="159">
        <f>C93/C91</f>
        <v>0.8668930922046667</v>
      </c>
      <c r="E93" s="252">
        <f>E91*D93</f>
        <v>874963</v>
      </c>
      <c r="F93" s="252">
        <f>F91*D93</f>
        <v>874963</v>
      </c>
    </row>
    <row r="94" spans="2:8" ht="13.9" x14ac:dyDescent="0.4">
      <c r="B94" s="104" t="s">
        <v>255</v>
      </c>
      <c r="C94" s="77">
        <f>C29</f>
        <v>3730</v>
      </c>
      <c r="D94" s="159">
        <f>C94/C91</f>
        <v>3.6955976811858409E-3</v>
      </c>
      <c r="E94" s="253"/>
      <c r="F94" s="252">
        <f>F91*D94</f>
        <v>3730</v>
      </c>
    </row>
    <row r="95" spans="2:8" ht="13.9" x14ac:dyDescent="0.4">
      <c r="B95" s="28" t="s">
        <v>245</v>
      </c>
      <c r="C95" s="77">
        <f>ABS(MAX(C33,0)-C32)</f>
        <v>25869</v>
      </c>
      <c r="D95" s="159">
        <f>C95/C91</f>
        <v>2.5630406545468234E-2</v>
      </c>
      <c r="E95" s="252">
        <f>E91*D95</f>
        <v>25869</v>
      </c>
      <c r="F95" s="252">
        <f>F91*D95</f>
        <v>25869</v>
      </c>
    </row>
    <row r="96" spans="2:8" ht="13.9" x14ac:dyDescent="0.4">
      <c r="B96" s="28" t="s">
        <v>109</v>
      </c>
      <c r="C96" s="77">
        <f>MAX(C31,0)</f>
        <v>22422</v>
      </c>
      <c r="D96" s="159">
        <f>C96/C91</f>
        <v>2.2215198715160572E-2</v>
      </c>
      <c r="E96" s="253"/>
      <c r="F96" s="252">
        <f>F91*D96</f>
        <v>22422</v>
      </c>
    </row>
    <row r="97" spans="2:7" ht="13.9" x14ac:dyDescent="0.4">
      <c r="B97" s="73" t="s">
        <v>172</v>
      </c>
      <c r="C97" s="77">
        <f>MAX(C30,0)/(1-C16)</f>
        <v>225.33333333333334</v>
      </c>
      <c r="D97" s="159">
        <f>C97/C91</f>
        <v>2.2325505205376484E-4</v>
      </c>
      <c r="E97" s="253"/>
      <c r="F97" s="252">
        <f>F91*D97</f>
        <v>225.33333333333334</v>
      </c>
    </row>
    <row r="98" spans="2:7" ht="13.9" x14ac:dyDescent="0.4">
      <c r="B98" s="86" t="s">
        <v>207</v>
      </c>
      <c r="C98" s="237">
        <f>C44</f>
        <v>4.548</v>
      </c>
      <c r="D98" s="266"/>
      <c r="E98" s="254">
        <f>F98</f>
        <v>4.548</v>
      </c>
      <c r="F98" s="254">
        <f>C98</f>
        <v>4.548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0941.HK</v>
      </c>
      <c r="D3" s="278"/>
      <c r="E3" s="87"/>
      <c r="F3" s="3" t="s">
        <v>1</v>
      </c>
      <c r="G3" s="132">
        <v>74.099999999999994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中国移动</v>
      </c>
      <c r="D4" s="280"/>
      <c r="E4" s="87"/>
      <c r="F4" s="3" t="s">
        <v>2</v>
      </c>
      <c r="G4" s="283">
        <f>Inputs!C10</f>
        <v>21481669957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1591791.7438137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C0010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0.8668930922046667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2.2325505205376484E-4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2.2215198715160572E-2</v>
      </c>
      <c r="F23" s="140" t="s">
        <v>188</v>
      </c>
      <c r="G23" s="177">
        <f>G3/(Data!C36*Data!C4/Common_Shares*Exchange_Rate)</f>
        <v>1.0750887236550346</v>
      </c>
    </row>
    <row r="24" spans="1:8" ht="15.75" customHeight="1" x14ac:dyDescent="0.4">
      <c r="B24" s="137" t="s">
        <v>170</v>
      </c>
      <c r="C24" s="171">
        <f>Fin_Analysis!I81</f>
        <v>3.6955976811858409E-3</v>
      </c>
      <c r="F24" s="140" t="s">
        <v>257</v>
      </c>
      <c r="G24" s="268">
        <f>G3/(Fin_Analysis!H86*G7)</f>
        <v>24.162208647469445</v>
      </c>
    </row>
    <row r="25" spans="1:8" ht="15.75" customHeight="1" x14ac:dyDescent="0.4">
      <c r="B25" s="137" t="s">
        <v>243</v>
      </c>
      <c r="C25" s="171">
        <f>Fin_Analysis!I82</f>
        <v>2.5630406545468234E-2</v>
      </c>
      <c r="F25" s="140" t="s">
        <v>174</v>
      </c>
      <c r="G25" s="171">
        <f>Fin_Analysis!I88</f>
        <v>1.5866671803691612</v>
      </c>
    </row>
    <row r="26" spans="1:8" ht="15.75" customHeight="1" x14ac:dyDescent="0.4">
      <c r="B26" s="138" t="s">
        <v>173</v>
      </c>
      <c r="C26" s="171">
        <f>Fin_Analysis!I83</f>
        <v>8.1342449801464822E-2</v>
      </c>
      <c r="F26" s="141" t="s">
        <v>193</v>
      </c>
      <c r="G26" s="178">
        <f>Fin_Analysis!H88*Exchange_Rate/G3</f>
        <v>6.5667307302858496E-2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46.714314340821765</v>
      </c>
      <c r="D29" s="129">
        <f>G29*(1+G20)</f>
        <v>86.316582884741308</v>
      </c>
      <c r="E29" s="87"/>
      <c r="F29" s="131">
        <f>IF(Fin_Analysis!C108="Profit",Fin_Analysis!F100,IF(Fin_Analysis!C108="Dividend",Fin_Analysis!F103,Fin_Analysis!F106))</f>
        <v>54.958016871555017</v>
      </c>
      <c r="G29" s="274">
        <f>IF(Fin_Analysis!C108="Profit",Fin_Analysis!I100,IF(Fin_Analysis!C108="Dividend",Fin_Analysis!I103,Fin_Analysis!I106))</f>
        <v>75.057898160644626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134120.66666666666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1009309</v>
      </c>
      <c r="D6" s="200">
        <f>IF(Inputs!D25="","",Inputs!D25)</f>
        <v>937259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0</v>
      </c>
      <c r="D8" s="199">
        <f>IF(Inputs!D26="","",Inputs!D26)</f>
        <v>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1009309</v>
      </c>
      <c r="D9" s="151">
        <f t="shared" si="2"/>
        <v>937259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874963</v>
      </c>
      <c r="D10" s="199">
        <f>IF(Inputs!D27="","",Inputs!D27)</f>
        <v>808160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225.33333333333334</v>
      </c>
      <c r="D12" s="199">
        <f>IF(Inputs!D30="","",MAX(Inputs!D30,0)/(1-Fin_Analysis!$I$84))</f>
        <v>180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0.13288365274327946</v>
      </c>
      <c r="D13" s="229">
        <f t="shared" si="3"/>
        <v>0.1375489592524585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134120.66666666666</v>
      </c>
      <c r="D14" s="230">
        <f t="shared" ref="D14:M14" si="4">IF(D6="","",D9-D10-MAX(D11,0)-MAX(D12,0))</f>
        <v>128919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4.0348332415444249E-2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22422</v>
      </c>
      <c r="D16" s="199">
        <f>IF(Inputs!D31="","",Inputs!D31)</f>
        <v>22811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3730</v>
      </c>
      <c r="D17" s="199">
        <f>IF(Inputs!D29="","",Inputs!D29)</f>
        <v>2330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0.20522159219822672</v>
      </c>
      <c r="D18" s="152">
        <f t="shared" si="6"/>
        <v>0.21347034277611632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207132</v>
      </c>
      <c r="D19" s="199">
        <f>IF(Inputs!D32="","",Inputs!D32)</f>
        <v>200077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0.17959118565275847</v>
      </c>
      <c r="D20" s="152">
        <f t="shared" si="7"/>
        <v>0.20227919923948451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181263</v>
      </c>
      <c r="D21" s="199">
        <f>IF(Inputs!D33="","",Inputs!D33)</f>
        <v>189588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82099.666666666657</v>
      </c>
      <c r="D22" s="161">
        <f t="shared" ref="D22:M22" si="8">IF(D6="","",D14-MAX(D16,0)-MAX(D17,0)-ABS(MAX(D21,0)-MAX(D19,0)))</f>
        <v>93289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6.1006837351098617E-2</v>
      </c>
      <c r="D23" s="153">
        <f t="shared" si="9"/>
        <v>7.4650390126955304E-2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61574.749999999993</v>
      </c>
      <c r="D24" s="77">
        <f>IF(D6="","",D22*(1-Fin_Analysis!$I$84))</f>
        <v>69966.75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-0.11994268706206887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199">
        <f>IF(Inputs!D34="","",Inputs!D34)</f>
        <v>498104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199">
        <f>IF(Inputs!D35="","",Inputs!D35)</f>
        <v>68428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199">
        <f>IF(Inputs!D36="","",Inputs!D36)</f>
        <v>12026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199">
        <f>IF(Inputs!D37="","",Inputs!D37)</f>
        <v>558565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199">
        <f>IF(Inputs!D38="","",Inputs!D38)</f>
        <v>88107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199">
        <f>IF(Inputs!D41="","",Inputs!D41)</f>
        <v>1345985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199">
        <f>IF(Inputs!D42="","",Inputs!D42)</f>
        <v>4253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199">
        <f>IF(Inputs!D43="","",Inputs!D43)</f>
        <v>795161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0.11138591111982202</v>
      </c>
      <c r="D40" s="155">
        <f>IF(D6="","",D14/MAX(D39,0))</f>
        <v>0.1076571445750132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</v>
      </c>
      <c r="D42" s="156">
        <f t="shared" si="34"/>
        <v>0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0.8668930922046667</v>
      </c>
      <c r="D43" s="153">
        <f t="shared" si="35"/>
        <v>0.86225899137805029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2.2215198715160572E-2</v>
      </c>
      <c r="D44" s="153">
        <f t="shared" si="36"/>
        <v>2.4337989819249534E-2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3.6955976811858409E-3</v>
      </c>
      <c r="D45" s="153">
        <f t="shared" si="37"/>
        <v>2.4859723939700765E-3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2.2325505205376484E-4</v>
      </c>
      <c r="D46" s="153">
        <f t="shared" ref="D46:M46" si="38">IF(D6="","",MAX(D12,0)/D6)</f>
        <v>1.9204936949125055E-4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2.5630406545468234E-2</v>
      </c>
      <c r="D47" s="153">
        <f t="shared" ref="D47:M47" si="39">IF(D6="","",ABS(MAX(D21,0)-MAX(D19,0))/D6)</f>
        <v>1.1191143536631816E-2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8.1342449801464822E-2</v>
      </c>
      <c r="D48" s="153">
        <f t="shared" si="40"/>
        <v>9.9533853502607073E-2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0.10000802529255164</v>
      </c>
      <c r="D50" s="156">
        <f t="shared" si="41"/>
        <v>7.3008634753040522E-2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1.2499640843388893E-2</v>
      </c>
      <c r="D51" s="153">
        <f t="shared" si="42"/>
        <v>1.2831031763898772E-2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>
        <f>IF(D6="","",C16/(C6-D6))</f>
        <v>0.31120055517002082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0.31546091797268211</v>
      </c>
      <c r="D54" s="156">
        <f t="shared" ref="D54:M54" si="44">IF(D36="","",(D27-D36)/D27)</f>
        <v>0.32452750272625946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0.85815476812654601</v>
      </c>
      <c r="D55" s="157">
        <f t="shared" si="45"/>
        <v>0.90629918200011661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4.5432583973138346E-2</v>
      </c>
      <c r="D56" s="153">
        <f t="shared" si="46"/>
        <v>2.4976149385243705E-2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0.96378562214143304</v>
      </c>
      <c r="D57" s="158">
        <f t="shared" si="47"/>
        <v>0.89175655474295745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-25678.795325179195</v>
      </c>
      <c r="E6" s="56">
        <f>1-D6/D3</f>
        <v>1.0185557992304035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8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8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8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8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8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8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8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8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6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8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8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8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8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8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8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8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7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1.0750887236550346</v>
      </c>
      <c r="E53" s="88">
        <f>IF(C53=0,0,MAX(C53,C53*Dashboard!G23))</f>
        <v>4649.7587298080243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95670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1009309</v>
      </c>
      <c r="D74" s="209"/>
      <c r="E74" s="238">
        <f>Inputs!E91</f>
        <v>1009309</v>
      </c>
      <c r="F74" s="209"/>
      <c r="H74" s="238">
        <f>Inputs!F91</f>
        <v>1009309</v>
      </c>
      <c r="I74" s="209"/>
      <c r="K74" s="24"/>
    </row>
    <row r="75" spans="1:11" ht="15" customHeight="1" x14ac:dyDescent="0.4">
      <c r="B75" s="104" t="s">
        <v>105</v>
      </c>
      <c r="C75" s="77">
        <f>Data!C8</f>
        <v>0</v>
      </c>
      <c r="D75" s="159">
        <f>C75/$C$74</f>
        <v>0</v>
      </c>
      <c r="E75" s="238">
        <f>Inputs!E92</f>
        <v>0</v>
      </c>
      <c r="F75" s="160">
        <f>E75/E74</f>
        <v>0</v>
      </c>
      <c r="H75" s="238">
        <f>Inputs!F92</f>
        <v>0</v>
      </c>
      <c r="I75" s="160">
        <f>H75/$H$74</f>
        <v>0</v>
      </c>
      <c r="K75" s="24"/>
    </row>
    <row r="76" spans="1:11" ht="15" customHeight="1" x14ac:dyDescent="0.4">
      <c r="B76" s="35" t="s">
        <v>95</v>
      </c>
      <c r="C76" s="161">
        <f>C74-C75</f>
        <v>1009309</v>
      </c>
      <c r="D76" s="210"/>
      <c r="E76" s="162">
        <f>E74-E75</f>
        <v>1009309</v>
      </c>
      <c r="F76" s="210"/>
      <c r="H76" s="162">
        <f>H74-H75</f>
        <v>1009309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874963</v>
      </c>
      <c r="D77" s="159">
        <f>C77/$C$74</f>
        <v>0.8668930922046667</v>
      </c>
      <c r="E77" s="238">
        <f>Inputs!E93</f>
        <v>874963</v>
      </c>
      <c r="F77" s="160">
        <f>E77/E74</f>
        <v>0.8668930922046667</v>
      </c>
      <c r="H77" s="238">
        <f>Inputs!F93</f>
        <v>874963</v>
      </c>
      <c r="I77" s="160">
        <f>H77/$H$74</f>
        <v>0.8668930922046667</v>
      </c>
      <c r="K77" s="24"/>
    </row>
    <row r="78" spans="1:11" ht="15" customHeight="1" x14ac:dyDescent="0.4">
      <c r="B78" s="73" t="s">
        <v>172</v>
      </c>
      <c r="C78" s="77">
        <f>MAX(Data!C12,0)</f>
        <v>225.33333333333334</v>
      </c>
      <c r="D78" s="159">
        <f>C78/$C$74</f>
        <v>2.2325505205376484E-4</v>
      </c>
      <c r="E78" s="180">
        <f>E74*F78</f>
        <v>225.33333333333334</v>
      </c>
      <c r="F78" s="160">
        <f>I78</f>
        <v>2.2325505205376484E-4</v>
      </c>
      <c r="H78" s="238">
        <f>Inputs!F97</f>
        <v>225.33333333333334</v>
      </c>
      <c r="I78" s="160">
        <f>H78/$H$74</f>
        <v>2.2325505205376484E-4</v>
      </c>
      <c r="K78" s="24"/>
    </row>
    <row r="79" spans="1:11" ht="15" customHeight="1" x14ac:dyDescent="0.4">
      <c r="B79" s="256" t="s">
        <v>232</v>
      </c>
      <c r="C79" s="257">
        <f>C76-C77-C78</f>
        <v>134120.66666666666</v>
      </c>
      <c r="D79" s="258">
        <f>C79/C74</f>
        <v>0.13288365274327946</v>
      </c>
      <c r="E79" s="259">
        <f>E76-E77-E78</f>
        <v>134120.66666666666</v>
      </c>
      <c r="F79" s="258">
        <f>E79/E74</f>
        <v>0.13288365274327946</v>
      </c>
      <c r="G79" s="260"/>
      <c r="H79" s="259">
        <f>H76-H77-H78</f>
        <v>134120.66666666666</v>
      </c>
      <c r="I79" s="258">
        <f>H79/H74</f>
        <v>0.13288365274327946</v>
      </c>
      <c r="K79" s="24"/>
    </row>
    <row r="80" spans="1:11" ht="15" customHeight="1" x14ac:dyDescent="0.4">
      <c r="B80" s="28" t="s">
        <v>109</v>
      </c>
      <c r="C80" s="77">
        <f>MAX(Data!C16,0)</f>
        <v>22422</v>
      </c>
      <c r="D80" s="159">
        <f>C80/$C$74</f>
        <v>2.2215198715160572E-2</v>
      </c>
      <c r="E80" s="180">
        <f>E74*F80</f>
        <v>22422</v>
      </c>
      <c r="F80" s="160">
        <f>I80</f>
        <v>2.2215198715160572E-2</v>
      </c>
      <c r="H80" s="238">
        <f>Inputs!F96</f>
        <v>22422</v>
      </c>
      <c r="I80" s="160">
        <f>H80/$H$74</f>
        <v>2.2215198715160572E-2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3730</v>
      </c>
      <c r="D81" s="159">
        <f>C81/$C$74</f>
        <v>3.6955976811858409E-3</v>
      </c>
      <c r="E81" s="180">
        <f>E74*F81</f>
        <v>3730</v>
      </c>
      <c r="F81" s="160">
        <f>I81</f>
        <v>3.6955976811858409E-3</v>
      </c>
      <c r="H81" s="238">
        <f>Inputs!F94</f>
        <v>3730</v>
      </c>
      <c r="I81" s="160">
        <f>H81/$H$74</f>
        <v>3.6955976811858409E-3</v>
      </c>
      <c r="K81" s="24"/>
    </row>
    <row r="82" spans="1:11" ht="15" customHeight="1" x14ac:dyDescent="0.4">
      <c r="B82" s="28" t="s">
        <v>245</v>
      </c>
      <c r="C82" s="77">
        <f>ABS(MAX(Data!C21,0)-MAX(Data!C19,0))</f>
        <v>25869</v>
      </c>
      <c r="D82" s="159">
        <f>C82/$C$74</f>
        <v>2.5630406545468234E-2</v>
      </c>
      <c r="E82" s="238">
        <f>Inputs!E95</f>
        <v>25869</v>
      </c>
      <c r="F82" s="160">
        <f>E82/E74</f>
        <v>2.5630406545468234E-2</v>
      </c>
      <c r="H82" s="238">
        <f>Inputs!F95</f>
        <v>25869</v>
      </c>
      <c r="I82" s="160">
        <f>H82/$H$74</f>
        <v>2.5630406545468234E-2</v>
      </c>
      <c r="K82" s="24"/>
    </row>
    <row r="83" spans="1:11" ht="15" customHeight="1" thickBot="1" x14ac:dyDescent="0.45">
      <c r="B83" s="105" t="s">
        <v>125</v>
      </c>
      <c r="C83" s="163">
        <f>C79-C81-C82-C80</f>
        <v>82099.666666666657</v>
      </c>
      <c r="D83" s="164">
        <f>C83/$C$74</f>
        <v>8.1342449801464822E-2</v>
      </c>
      <c r="E83" s="165">
        <f>E79-E81-E82-E80</f>
        <v>82099.666666666657</v>
      </c>
      <c r="F83" s="164">
        <f>E83/E74</f>
        <v>8.1342449801464822E-2</v>
      </c>
      <c r="H83" s="165">
        <f>H79-H81-H82-H80</f>
        <v>82099.666666666657</v>
      </c>
      <c r="I83" s="164">
        <f>H83/$H$74</f>
        <v>8.1342449801464822E-2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61574.749999999993</v>
      </c>
      <c r="D85" s="258">
        <f>C85/$C$74</f>
        <v>6.1006837351098617E-2</v>
      </c>
      <c r="E85" s="264">
        <f>E83*(1-F84)</f>
        <v>61574.749999999993</v>
      </c>
      <c r="F85" s="258">
        <f>E85/E74</f>
        <v>6.1006837351098617E-2</v>
      </c>
      <c r="G85" s="260"/>
      <c r="H85" s="264">
        <f>H83*(1-I84)</f>
        <v>61574.749999999993</v>
      </c>
      <c r="I85" s="258">
        <f>H85/$H$74</f>
        <v>6.1006837351098617E-2</v>
      </c>
      <c r="K85" s="24"/>
    </row>
    <row r="86" spans="1:11" ht="15" customHeight="1" x14ac:dyDescent="0.4">
      <c r="B86" s="87" t="s">
        <v>160</v>
      </c>
      <c r="C86" s="167">
        <f>C85*Data!C4/Common_Shares</f>
        <v>2.8663856265948864</v>
      </c>
      <c r="D86" s="209"/>
      <c r="E86" s="168">
        <f>E85*Data!C4/Common_Shares</f>
        <v>2.8663856265948864</v>
      </c>
      <c r="F86" s="209"/>
      <c r="H86" s="168">
        <f>H85*Data!C4/Common_Shares</f>
        <v>2.8663856265948864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4.1386944984631274E-2</v>
      </c>
      <c r="D87" s="209"/>
      <c r="E87" s="262">
        <f>E86*Exchange_Rate/Dashboard!G3</f>
        <v>4.1386944984631274E-2</v>
      </c>
      <c r="F87" s="209"/>
      <c r="H87" s="262">
        <f>H86*Exchange_Rate/Dashboard!G3</f>
        <v>4.1386944984631274E-2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4.548</v>
      </c>
      <c r="D88" s="166">
        <f>C88/C86</f>
        <v>1.5866671803691612</v>
      </c>
      <c r="E88" s="170">
        <f>Inputs!E98</f>
        <v>4.548</v>
      </c>
      <c r="F88" s="166">
        <f>E88/E86</f>
        <v>1.5866671803691612</v>
      </c>
      <c r="H88" s="170">
        <f>Inputs!F98</f>
        <v>4.548</v>
      </c>
      <c r="I88" s="166">
        <f>H88/H86</f>
        <v>1.5866671803691612</v>
      </c>
      <c r="K88" s="24"/>
    </row>
    <row r="89" spans="1:11" ht="15" customHeight="1" x14ac:dyDescent="0.4">
      <c r="B89" s="87" t="s">
        <v>221</v>
      </c>
      <c r="C89" s="261">
        <f>C88*Exchange_Rate/Dashboard!G3</f>
        <v>6.5667307302858496E-2</v>
      </c>
      <c r="D89" s="209"/>
      <c r="E89" s="261">
        <f>E88*Exchange_Rate/Dashboard!G3</f>
        <v>6.5667307302858496E-2</v>
      </c>
      <c r="F89" s="209"/>
      <c r="H89" s="261">
        <f>H88*Exchange_Rate/Dashboard!G3</f>
        <v>6.5667307302858496E-2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62.085023231163753</v>
      </c>
      <c r="H93" s="87" t="s">
        <v>209</v>
      </c>
      <c r="I93" s="144">
        <f>FV(H87,D93,0,-(H86/(C93-D94)))*Exchange_Rate</f>
        <v>62.085023231163753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110.54020224534841</v>
      </c>
      <c r="H94" s="87" t="s">
        <v>210</v>
      </c>
      <c r="I94" s="144">
        <f>FV(H89,D93,0,-(H88/(C93-D94)))*Exchange_Rate</f>
        <v>110.54020224534841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663079.6293234406</v>
      </c>
      <c r="D97" s="213"/>
      <c r="E97" s="123">
        <f>PV(C94,D93,0,-F93)</f>
        <v>30.867229160988479</v>
      </c>
      <c r="F97" s="213"/>
      <c r="H97" s="123">
        <f>PV(C94,D93,0,-I93)</f>
        <v>30.867229160988479</v>
      </c>
      <c r="I97" s="123">
        <f>PV(C93,D93,0,-I93)</f>
        <v>42.156349059710891</v>
      </c>
      <c r="K97" s="24"/>
    </row>
    <row r="98" spans="2:11" ht="15" customHeight="1" x14ac:dyDescent="0.4">
      <c r="B98" s="28" t="s">
        <v>144</v>
      </c>
      <c r="C98" s="91">
        <f>-E53*Exchange_Rate</f>
        <v>-4974.8200819544709</v>
      </c>
      <c r="D98" s="213"/>
      <c r="E98" s="213"/>
      <c r="F98" s="213"/>
      <c r="H98" s="123">
        <f>C98*Data!$C$4/Common_Shares</f>
        <v>-0.23158442020162309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658104.80924148613</v>
      </c>
      <c r="D100" s="109">
        <f>MIN(F100*(1-C94),E100)</f>
        <v>26.040298029668829</v>
      </c>
      <c r="E100" s="109">
        <f>MAX(E97+H98+E99,0)</f>
        <v>30.635644740786855</v>
      </c>
      <c r="F100" s="109">
        <f>(E100+H100)/2</f>
        <v>30.635644740786859</v>
      </c>
      <c r="H100" s="109">
        <f>MAX(C100*Data!$C$4/Common_Shares,0)</f>
        <v>30.635644740786859</v>
      </c>
      <c r="I100" s="109">
        <f>MAX(I97+H98+H99,0)</f>
        <v>41.92476463950927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1180589.9799259824</v>
      </c>
      <c r="D103" s="109">
        <f>MIN(F103*(1-C94),E103)</f>
        <v>46.714314340821765</v>
      </c>
      <c r="E103" s="123">
        <f>PV(C94,D93,0,-F94)</f>
        <v>54.958016871555017</v>
      </c>
      <c r="F103" s="109">
        <f>(E103+H103)/2</f>
        <v>54.958016871555017</v>
      </c>
      <c r="H103" s="123">
        <f>PV(C94,D93,0,-I94)</f>
        <v>54.958016871555017</v>
      </c>
      <c r="I103" s="109">
        <f>PV(C93,D93,0,-I94)</f>
        <v>75.057898160644626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919347.39458373433</v>
      </c>
      <c r="D106" s="109">
        <f>(D100+D103)/2</f>
        <v>36.377306185245295</v>
      </c>
      <c r="E106" s="123">
        <f>(E100+E103)/2</f>
        <v>42.796830806170938</v>
      </c>
      <c r="F106" s="109">
        <f>(F100+F103)/2</f>
        <v>42.796830806170938</v>
      </c>
      <c r="H106" s="123">
        <f>(H100+H103)/2</f>
        <v>42.796830806170938</v>
      </c>
      <c r="I106" s="123">
        <f>(I100+I103)/2</f>
        <v>58.491331400076945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