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0ECE1E7-EDB1-4341-93AD-A5A69A499C2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M52" i="2"/>
  <c r="E95" i="4" l="1"/>
  <c r="F96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<sst xmlns="http://schemas.openxmlformats.org/spreadsheetml/2006/main" count="391" uniqueCount="271">
  <si>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</si>
  <si>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</si>
  <si>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</si>
  <si>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</si>
  <si>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</si>
  <si>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</si>
  <si>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</si>
  <si>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</si>
  <si>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</si>
  <si>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</si>
  <si>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</si>
  <si>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</si>
  <si>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</si>
  <si>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</si>
  <si>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</si>
  <si>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</si>
  <si>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</si>
  <si>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</si>
  <si>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</si>
  <si>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</si>
  <si>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</si>
  <si>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</si>
  <si>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</si>
  <si>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</si>
  <si>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</si>
  <si>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</si>
  <si>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</si>
  <si>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</si>
  <si>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</si>
  <si>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</si>
  <si>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</si>
  <si>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</si>
  <si>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</si>
  <si>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</si>
  <si>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</si>
  <si>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</si>
  <si>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</si>
  <si>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</si>
  <si>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</si>
  <si>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</si>
  <si>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</si>
  <si>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</si>
  <si>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</si>
  <si>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</si>
  <si>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</si>
  <si>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</si>
  <si>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</si>
  <si>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</si>
  <si>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</si>
  <si>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</si>
  <si>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</si>
  <si>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</si>
  <si>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</si>
  <si>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</si>
  <si>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</si>
  <si>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</si>
  <si>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</si>
  <si>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</si>
  <si>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</si>
  <si>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</si>
  <si>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</si>
  <si>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</si>
  <si>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</si>
  <si>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</si>
  <si>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</si>
  <si>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</si>
  <si>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</si>
  <si>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</si>
  <si>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</si>
  <si>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</si>
  <si>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</si>
  <si>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</si>
  <si>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</si>
  <si>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</si>
  <si>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</si>
  <si>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</si>
  <si>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</si>
  <si>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</si>
  <si>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</si>
  <si>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</si>
  <si>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</si>
  <si>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</si>
  <si>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</si>
  <si>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</si>
  <si>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</si>
  <si>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</si>
  <si>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</si>
  <si>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</si>
  <si>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</si>
  <si>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</si>
  <si>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</si>
  <si>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</si>
  <si>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</si>
  <si>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</si>
  <si>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</si>
  <si>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</si>
  <si>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</si>
  <si>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</si>
  <si>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</si>
  <si>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</si>
  <si>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</si>
  <si>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</si>
  <si>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</si>
  <si>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</si>
  <si>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</si>
  <si>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</si>
  <si>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</si>
  <si>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</si>
  <si>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</si>
  <si>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</si>
  <si>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</si>
  <si>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</si>
  <si>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</si>
  <si>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</si>
  <si>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</si>
  <si>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</si>
  <si>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</si>
  <si>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</si>
  <si>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</si>
  <si>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</si>
  <si>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</si>
  <si>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</si>
  <si>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</si>
  <si>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</si>
  <si>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</si>
  <si>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</si>
  <si>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</si>
  <si>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</si>
  <si>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</si>
  <si>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</si>
  <si>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</si>
  <si>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</si>
  <si>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</si>
  <si>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</si>
  <si>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</si>
  <si>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</si>
  <si>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</si>
  <si>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</si>
  <si>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</si>
  <si>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</si>
  <si>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</si>
  <si>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</si>
  <si>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</si>
  <si>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</si>
  <si>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</si>
  <si>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</si>
  <si>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</si>
  <si>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</si>
  <si>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</si>
  <si>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</si>
  <si>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</si>
  <si>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</si>
  <si>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</si>
  <si>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</si>
  <si>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</si>
  <si>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</si>
  <si>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</si>
  <si>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</si>
  <si>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</si>
  <si>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</si>
  <si>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</si>
  <si>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</si>
  <si>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</si>
  <si>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</si>
  <si>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</si>
  <si>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</si>
  <si>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</si>
  <si>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</si>
  <si>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</si>
  <si>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</si>
  <si>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</si>
  <si>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</si>
  <si>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</si>
  <si>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</si>
  <si>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</si>
  <si>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</si>
  <si>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</si>
  <si>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</si>
  <si>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</si>
  <si>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</si>
  <si>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</si>
  <si>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</si>
  <si>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</si>
  <si>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</si>
  <si>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</si>
  <si>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</si>
  <si>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</si>
  <si>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</si>
  <si>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</si>
  <si>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</si>
  <si>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</si>
  <si>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</si>
  <si>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</si>
  <si>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</si>
  <si>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</si>
  <si>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</si>
  <si>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</si>
  <si>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</si>
  <si>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</si>
  <si>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</si>
  <si>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</si>
  <si>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</si>
  <si>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</si>
  <si>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</si>
  <si>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</si>
  <si>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</si>
  <si>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</si>
  <si>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</si>
  <si>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</si>
  <si>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</si>
  <si>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</si>
  <si>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</si>
  <si>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</si>
  <si>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</si>
  <si>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</si>
  <si>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</si>
  <si>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</si>
  <si>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</si>
  <si>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</si>
  <si>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</si>
  <si>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</si>
  <si>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</si>
  <si>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</si>
  <si>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</si>
  <si>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</si>
  <si>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</si>
  <si>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</si>
  <si>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</si>
  <si>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</si>
  <si>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</si>
  <si>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</si>
  <si>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</si>
  <si>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</si>
  <si>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</si>
  <si>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</si>
  <si>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</si>
  <si>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</si>
  <si>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</si>
  <si>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</si>
  <si>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</si>
  <si>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</si>
  <si>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</si>
  <si>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</si>
  <si>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</si>
  <si>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</si>
  <si>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</si>
  <si>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</si>
  <si>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</si>
  <si>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</si>
  <si>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</si>
  <si>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</si>
  <si>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</si>
  <si>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</si>
  <si>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</si>
  <si>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</si>
  <si>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</si>
  <si>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</si>
  <si>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</si>
  <si>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</si>
  <si>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</si>
  <si>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</si>
  <si>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</si>
  <si>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</si>
  <si>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</si>
  <si>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</si>
  <si>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1066.HK</t>
  </si>
  <si>
    <t>威高股份</t>
  </si>
  <si>
    <t xml:space="preserve">Superior Cycl. 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</si>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</sst>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0.49786034237394394</c:v>
                </c:pt>
                <c:pt idx="1">
                  <c:v>0.33448624066316274</c:v>
                </c:pt>
                <c:pt idx="2">
                  <c:v>6.0164745032668145E-3</c:v>
                </c:pt>
                <c:pt idx="3">
                  <c:v>0</c:v>
                </c:pt>
                <c:pt idx="4">
                  <c:v>2.063358175126364E-2</c:v>
                </c:pt>
                <c:pt idx="5">
                  <c:v>0</c:v>
                </c:pt>
                <c:pt idx="6">
                  <c:v>0.14100336070836289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4570632324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13229453</v>
      </c>
      <c r="D25" s="149">
        <v>13747473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6586420</v>
      </c>
      <c r="D26" s="150">
        <v>6441741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2582237+1249983</f>
        <v>3832220</v>
      </c>
      <c r="D27" s="150">
        <f>2536450+1122577</f>
        <v>3659027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592850</v>
      </c>
      <c r="D28" s="150">
        <v>556442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272971</v>
      </c>
      <c r="D29" s="150">
        <v>191401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59696</v>
      </c>
      <c r="D30" s="150">
        <v>186057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0.0943+0.0734</f>
        <v>0.16770000000000002</v>
      </c>
      <c r="D44" s="250">
        <f>0.079+0.086</f>
        <v>0.16499999999999998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3.6320604995677346E-2</v>
      </c>
      <c r="D45" s="152">
        <f>IF(D44="","",D44*Exchange_Rate/Dashboard!$G$3)</f>
        <v>3.5735836757822069E-2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13229453</v>
      </c>
      <c r="D91" s="209"/>
      <c r="E91" s="251">
        <f>C91</f>
        <v>13229453</v>
      </c>
      <c r="F91" s="251">
        <f>C91</f>
        <v>13229453</v>
      </c>
    </row>
    <row r="92" spans="2:8" ht="13.9" x14ac:dyDescent="0.4">
      <c r="B92" s="104" t="s">
        <v>105</v>
      </c>
      <c r="C92" s="77">
        <f>C26</f>
        <v>6586420</v>
      </c>
      <c r="D92" s="159">
        <f>C92/C91</f>
        <v>0.49786034237394394</v>
      </c>
      <c r="E92" s="252">
        <f>E91*D92</f>
        <v>6586420</v>
      </c>
      <c r="F92" s="252">
        <f>F91*D92</f>
        <v>6586420</v>
      </c>
    </row>
    <row r="93" spans="2:8" ht="13.9" x14ac:dyDescent="0.4">
      <c r="B93" s="104" t="s">
        <v>247</v>
      </c>
      <c r="C93" s="77">
        <f>C27+C28</f>
        <v>4425070</v>
      </c>
      <c r="D93" s="159">
        <f>C93/C91</f>
        <v>0.33448624066316274</v>
      </c>
      <c r="E93" s="252">
        <f>E91*D93</f>
        <v>4425070</v>
      </c>
      <c r="F93" s="252">
        <f>F91*D93</f>
        <v>4425070</v>
      </c>
    </row>
    <row r="94" spans="2:8" ht="13.9" x14ac:dyDescent="0.4">
      <c r="B94" s="104" t="s">
        <v>257</v>
      </c>
      <c r="C94" s="77">
        <f>C29</f>
        <v>272971</v>
      </c>
      <c r="D94" s="159">
        <f>C94/C91</f>
        <v>2.063358175126364E-2</v>
      </c>
      <c r="E94" s="253"/>
      <c r="F94" s="252">
        <f>F91*D94</f>
        <v>272971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79594.666666666672</v>
      </c>
      <c r="D97" s="159">
        <f>C97/C91</f>
        <v>6.0164745032668145E-3</v>
      </c>
      <c r="E97" s="253"/>
      <c r="F97" s="252">
        <f>F91*D97</f>
        <v>79594.666666666672</v>
      </c>
    </row>
    <row r="98" spans="2:7" ht="13.9" x14ac:dyDescent="0.4">
      <c r="B98" s="86" t="s">
        <v>207</v>
      </c>
      <c r="C98" s="237">
        <f>C44</f>
        <v>0.16770000000000002</v>
      </c>
      <c r="D98" s="266"/>
      <c r="E98" s="254">
        <f>F98</f>
        <v>0.16770000000000002</v>
      </c>
      <c r="F98" s="254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1066.HK</v>
      </c>
      <c r="D3" s="278"/>
      <c r="E3" s="87"/>
      <c r="F3" s="3" t="s">
        <v>1</v>
      </c>
      <c r="G3" s="132">
        <v>4.9400000000000004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威高股份</v>
      </c>
      <c r="D4" s="280"/>
      <c r="E4" s="87"/>
      <c r="F4" s="3" t="s">
        <v>2</v>
      </c>
      <c r="G4" s="283">
        <f>Inputs!C10</f>
        <v>4570632324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22578.923680560001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0.49786034237394394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0.33448624066316274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6.0164745032668145E-3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2.063358175126364E-2</v>
      </c>
      <c r="F24" s="140" t="s">
        <v>260</v>
      </c>
      <c r="G24" s="268">
        <f>G3/(Fin_Analysis!H86*G7)</f>
        <v>15.08424787138766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0.54786900859355803</v>
      </c>
    </row>
    <row r="26" spans="1:8" ht="15.75" customHeight="1" x14ac:dyDescent="0.4">
      <c r="B26" s="138" t="s">
        <v>173</v>
      </c>
      <c r="C26" s="171">
        <f>Fin_Analysis!I83</f>
        <v>0.14100336070836289</v>
      </c>
      <c r="F26" s="141" t="s">
        <v>193</v>
      </c>
      <c r="G26" s="178">
        <f>Fin_Analysis!H88*Exchange_Rate/G3</f>
        <v>3.6320604995677346E-2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3.1532842591582515</v>
      </c>
      <c r="D29" s="129">
        <f>G29*(1+G20)</f>
        <v>5.8264950680638705</v>
      </c>
      <c r="E29" s="87"/>
      <c r="F29" s="131">
        <f>IF(Fin_Analysis!C108="Profit",Fin_Analysis!F100,IF(Fin_Analysis!C108="Dividend",Fin_Analysis!F103,Fin_Analysis!F106))</f>
        <v>3.7097461872450017</v>
      </c>
      <c r="G29" s="274">
        <f>IF(Fin_Analysis!C108="Profit",Fin_Analysis!I100,IF(Fin_Analysis!C108="Dividend",Fin_Analysis!I103,Fin_Analysis!I106))</f>
        <v>5.0665174504903225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13229453</v>
      </c>
      <c r="D6" s="200">
        <f>IF(Inputs!D25="","",Inputs!D25)</f>
        <v>13747473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6586420</v>
      </c>
      <c r="D8" s="199">
        <f>IF(Inputs!D26="","",Inputs!D26)</f>
        <v>6441741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6643033</v>
      </c>
      <c r="D9" s="151">
        <f t="shared" si="2"/>
        <v>7305732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3832220</v>
      </c>
      <c r="D10" s="199">
        <f>IF(Inputs!D27="","",Inputs!D27)</f>
        <v>3659027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592850</v>
      </c>
      <c r="D11" s="199">
        <f>IF(Inputs!D28="","",Inputs!D28)</f>
        <v>556442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79594.666666666672</v>
      </c>
      <c r="D12" s="199">
        <f>IF(Inputs!D30="","",MAX(Inputs!D30,0)/(1-Fin_Analysis!$I$84))</f>
        <v>248076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0.16163694245962654</v>
      </c>
      <c r="D13" s="229">
        <f t="shared" si="3"/>
        <v>0.20674250460430074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2138368.3333333335</v>
      </c>
      <c r="D14" s="230">
        <f t="shared" ref="D14:M14" si="4">IF(D6="","",D9-D10-MAX(D11,0)-MAX(D12,0))</f>
        <v>2842187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-0.24763277949926113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272971</v>
      </c>
      <c r="D17" s="199">
        <f>IF(Inputs!D29="","",Inputs!D29)</f>
        <v>191401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1865397.3333333335</v>
      </c>
      <c r="D22" s="161">
        <f t="shared" ref="D22:M22" si="8">IF(D6="","",D14-MAX(D16,0)-MAX(D17,0)-ABS(MAX(D21,0)-MAX(D19,0)))</f>
        <v>2650786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0.10575252053127215</v>
      </c>
      <c r="D23" s="153">
        <f t="shared" si="9"/>
        <v>0.14461490486287917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-0.29628520245190171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0.49786034237394394</v>
      </c>
      <c r="D42" s="156">
        <f t="shared" si="34"/>
        <v>0.46857637036275684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0.33448624066316274</v>
      </c>
      <c r="D43" s="153">
        <f t="shared" si="35"/>
        <v>0.30663591774284626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2.063358175126364E-2</v>
      </c>
      <c r="D45" s="153">
        <f t="shared" si="37"/>
        <v>1.3922631453795182E-2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6.0164745032668145E-3</v>
      </c>
      <c r="D46" s="153">
        <f t="shared" ref="D46:M46" si="38">IF(D6="","",MAX(D12,0)/D6)</f>
        <v>1.8045207290096149E-2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0.14100336070836289</v>
      </c>
      <c r="D48" s="153">
        <f t="shared" si="40"/>
        <v>0.19281987315050556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0.14633397138625692</v>
      </c>
      <c r="D56" s="153">
        <f t="shared" si="46"/>
        <v>7.2205376065815952E-2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13229453</v>
      </c>
      <c r="D74" s="209"/>
      <c r="E74" s="238">
        <f>Inputs!E91</f>
        <v>13229453</v>
      </c>
      <c r="F74" s="209"/>
      <c r="H74" s="238">
        <f>Inputs!F91</f>
        <v>13229453</v>
      </c>
      <c r="I74" s="209"/>
      <c r="K74" s="24"/>
    </row>
    <row r="75" spans="1:11" ht="15" customHeight="1" x14ac:dyDescent="0.4">
      <c r="B75" s="104" t="s">
        <v>105</v>
      </c>
      <c r="C75" s="77">
        <f>Data!C8</f>
        <v>6586420</v>
      </c>
      <c r="D75" s="159">
        <f>C75/$C$74</f>
        <v>0.49786034237394394</v>
      </c>
      <c r="E75" s="238">
        <f>Inputs!E92</f>
        <v>6586420</v>
      </c>
      <c r="F75" s="160">
        <f>E75/E74</f>
        <v>0.49786034237394394</v>
      </c>
      <c r="H75" s="238">
        <f>Inputs!F92</f>
        <v>6586420</v>
      </c>
      <c r="I75" s="160">
        <f>H75/$H$74</f>
        <v>0.49786034237394394</v>
      </c>
      <c r="K75" s="24"/>
    </row>
    <row r="76" spans="1:11" ht="15" customHeight="1" x14ac:dyDescent="0.4">
      <c r="B76" s="35" t="s">
        <v>95</v>
      </c>
      <c r="C76" s="161">
        <f>C74-C75</f>
        <v>6643033</v>
      </c>
      <c r="D76" s="210"/>
      <c r="E76" s="162">
        <f>E74-E75</f>
        <v>6643033</v>
      </c>
      <c r="F76" s="210"/>
      <c r="H76" s="162">
        <f>H74-H75</f>
        <v>6643033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4425070</v>
      </c>
      <c r="D77" s="159">
        <f>C77/$C$74</f>
        <v>0.33448624066316274</v>
      </c>
      <c r="E77" s="238">
        <f>Inputs!E93</f>
        <v>4425070</v>
      </c>
      <c r="F77" s="160">
        <f>E77/E74</f>
        <v>0.33448624066316274</v>
      </c>
      <c r="H77" s="238">
        <f>Inputs!F93</f>
        <v>4425070</v>
      </c>
      <c r="I77" s="160">
        <f>H77/$H$74</f>
        <v>0.33448624066316274</v>
      </c>
      <c r="K77" s="24"/>
    </row>
    <row r="78" spans="1:11" ht="15" customHeight="1" x14ac:dyDescent="0.4">
      <c r="B78" s="73" t="s">
        <v>172</v>
      </c>
      <c r="C78" s="77">
        <f>MAX(Data!C12,0)</f>
        <v>79594.666666666672</v>
      </c>
      <c r="D78" s="159">
        <f>C78/$C$74</f>
        <v>6.0164745032668145E-3</v>
      </c>
      <c r="E78" s="180">
        <f>E74*F78</f>
        <v>79594.666666666672</v>
      </c>
      <c r="F78" s="160">
        <f>I78</f>
        <v>6.0164745032668145E-3</v>
      </c>
      <c r="H78" s="238">
        <f>Inputs!F97</f>
        <v>79594.666666666672</v>
      </c>
      <c r="I78" s="160">
        <f>H78/$H$74</f>
        <v>6.0164745032668145E-3</v>
      </c>
      <c r="K78" s="24"/>
    </row>
    <row r="79" spans="1:11" ht="15" customHeight="1" x14ac:dyDescent="0.4">
      <c r="B79" s="256" t="s">
        <v>232</v>
      </c>
      <c r="C79" s="257">
        <f>C76-C77-C78</f>
        <v>2138368.3333333335</v>
      </c>
      <c r="D79" s="258">
        <f>C79/C74</f>
        <v>0.16163694245962654</v>
      </c>
      <c r="E79" s="259">
        <f>E76-E77-E78</f>
        <v>2138368.3333333335</v>
      </c>
      <c r="F79" s="258">
        <f>E79/E74</f>
        <v>0.16163694245962654</v>
      </c>
      <c r="G79" s="260"/>
      <c r="H79" s="259">
        <f>H76-H77-H78</f>
        <v>2138368.3333333335</v>
      </c>
      <c r="I79" s="258">
        <f>H79/H74</f>
        <v>0.16163694245962654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272971</v>
      </c>
      <c r="D81" s="159">
        <f>C81/$C$74</f>
        <v>2.063358175126364E-2</v>
      </c>
      <c r="E81" s="180">
        <f>E74*F81</f>
        <v>272971</v>
      </c>
      <c r="F81" s="160">
        <f>I81</f>
        <v>2.063358175126364E-2</v>
      </c>
      <c r="H81" s="238">
        <f>Inputs!F94</f>
        <v>272971</v>
      </c>
      <c r="I81" s="160">
        <f>H81/$H$74</f>
        <v>2.063358175126364E-2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1865397.3333333335</v>
      </c>
      <c r="D83" s="164">
        <f>C83/$C$74</f>
        <v>0.14100336070836289</v>
      </c>
      <c r="E83" s="165">
        <f>E79-E81-E82-E80</f>
        <v>1865397.3333333335</v>
      </c>
      <c r="F83" s="164">
        <f>E83/E74</f>
        <v>0.14100336070836289</v>
      </c>
      <c r="H83" s="165">
        <f>H79-H81-H82-H80</f>
        <v>1865397.3333333335</v>
      </c>
      <c r="I83" s="164">
        <f>H83/$H$74</f>
        <v>0.14100336070836289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1399048</v>
      </c>
      <c r="D85" s="258">
        <f>C85/$C$74</f>
        <v>0.10575252053127215</v>
      </c>
      <c r="E85" s="264">
        <f>E83*(1-F84)</f>
        <v>1399048</v>
      </c>
      <c r="F85" s="258">
        <f>E85/E74</f>
        <v>0.10575252053127215</v>
      </c>
      <c r="G85" s="260"/>
      <c r="H85" s="264">
        <f>H83*(1-I84)</f>
        <v>1399048</v>
      </c>
      <c r="I85" s="258">
        <f>H85/$H$74</f>
        <v>0.10575252053127215</v>
      </c>
      <c r="K85" s="24"/>
    </row>
    <row r="86" spans="1:11" ht="15" customHeight="1" x14ac:dyDescent="0.4">
      <c r="B86" s="87" t="s">
        <v>160</v>
      </c>
      <c r="C86" s="167">
        <f>C85*Data!C4/Common_Shares</f>
        <v>0.30609506537065306</v>
      </c>
      <c r="D86" s="209"/>
      <c r="E86" s="168">
        <f>E85*Data!C4/Common_Shares</f>
        <v>0.30609506537065306</v>
      </c>
      <c r="F86" s="209"/>
      <c r="H86" s="168">
        <f>H85*Data!C4/Common_Shares</f>
        <v>0.30609506537065306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6.6294322960366858E-2</v>
      </c>
      <c r="D87" s="209"/>
      <c r="E87" s="262">
        <f>E86*Exchange_Rate/Dashboard!G3</f>
        <v>6.6294322960366858E-2</v>
      </c>
      <c r="F87" s="209"/>
      <c r="H87" s="262">
        <f>H86*Exchange_Rate/Dashboard!G3</f>
        <v>6.6294322960366858E-2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0.16770000000000002</v>
      </c>
      <c r="D88" s="166">
        <f>C88/C86</f>
        <v>0.54786900859355803</v>
      </c>
      <c r="E88" s="170">
        <f>Inputs!E98</f>
        <v>0.16770000000000002</v>
      </c>
      <c r="F88" s="166">
        <f>E88/E86</f>
        <v>0.54786900859355803</v>
      </c>
      <c r="H88" s="170">
        <f>Inputs!F98</f>
        <v>0.16770000000000002</v>
      </c>
      <c r="I88" s="166">
        <f>H88/H86</f>
        <v>0.54786900859355803</v>
      </c>
      <c r="K88" s="24"/>
    </row>
    <row r="89" spans="1:11" ht="15" customHeight="1" x14ac:dyDescent="0.4">
      <c r="B89" s="87" t="s">
        <v>221</v>
      </c>
      <c r="C89" s="261">
        <f>C88*Exchange_Rate/Dashboard!G3</f>
        <v>3.6320604995677346E-2</v>
      </c>
      <c r="D89" s="209"/>
      <c r="E89" s="261">
        <f>E88*Exchange_Rate/Dashboard!G3</f>
        <v>3.6320604995677346E-2</v>
      </c>
      <c r="F89" s="209"/>
      <c r="H89" s="261">
        <f>H88*Exchange_Rate/Dashboard!G3</f>
        <v>3.6320604995677346E-2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7.4616246575159524</v>
      </c>
      <c r="H93" s="87" t="s">
        <v>209</v>
      </c>
      <c r="I93" s="144">
        <f>FV(H87,D93,0,-(H86/(C93-D94)))*Exchange_Rate</f>
        <v>7.4616246575159524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3.5448292002238762</v>
      </c>
      <c r="H94" s="87" t="s">
        <v>210</v>
      </c>
      <c r="I94" s="144">
        <f>FV(H89,D93,0,-(H88/(C93-D94)))*Exchange_Rate</f>
        <v>3.5448292002238762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16955885.837257762</v>
      </c>
      <c r="D97" s="213"/>
      <c r="E97" s="123">
        <f>PV(C94,D93,0,-F93)</f>
        <v>3.7097461872450017</v>
      </c>
      <c r="F97" s="213"/>
      <c r="H97" s="123">
        <f>PV(C94,D93,0,-I93)</f>
        <v>3.7097461872450017</v>
      </c>
      <c r="I97" s="123">
        <f>PV(C93,D93,0,-I93)</f>
        <v>5.0665174504903225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16955885.837257762</v>
      </c>
      <c r="D100" s="109">
        <f>MIN(F100*(1-C94),E100)</f>
        <v>3.1532842591582515</v>
      </c>
      <c r="E100" s="109">
        <f>MAX(E97+H98+E99,0)</f>
        <v>3.7097461872450017</v>
      </c>
      <c r="F100" s="109">
        <f>(E100+H100)/2</f>
        <v>3.7097461872450017</v>
      </c>
      <c r="H100" s="109">
        <f>MAX(C100*Data!$C$4/Common_Shares,0)</f>
        <v>3.7097461872450017</v>
      </c>
      <c r="I100" s="109">
        <f>MAX(I97+H98+H99,0)</f>
        <v>5.0665174504903225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8055312.6149317129</v>
      </c>
      <c r="D103" s="109">
        <f>MIN(F103*(1-C94),E103)</f>
        <v>1.4980456176137515</v>
      </c>
      <c r="E103" s="123">
        <f>PV(C94,D93,0,-F94)</f>
        <v>1.7624066089573547</v>
      </c>
      <c r="F103" s="109">
        <f>(E103+H103)/2</f>
        <v>1.7624066089573547</v>
      </c>
      <c r="H103" s="123">
        <f>PV(C94,D93,0,-I94)</f>
        <v>1.7624066089573547</v>
      </c>
      <c r="I103" s="109">
        <f>PV(C93,D93,0,-I94)</f>
        <v>2.406974328821434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12505599.226094738</v>
      </c>
      <c r="D106" s="109">
        <f>(D100+D103)/2</f>
        <v>2.3256649383860015</v>
      </c>
      <c r="E106" s="123">
        <f>(E100+E103)/2</f>
        <v>2.7360763981011784</v>
      </c>
      <c r="F106" s="109">
        <f>(F100+F103)/2</f>
        <v>2.7360763981011784</v>
      </c>
      <c r="H106" s="123">
        <f>(H100+H103)/2</f>
        <v>2.7360763981011784</v>
      </c>
      <c r="I106" s="123">
        <f>(I100+I103)/2</f>
        <v>3.7367458896558783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