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BDA59E51-8B62-4933-81F8-5BA08A038832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E95" i="4"/>
  <c r="E93" i="4"/>
  <c r="F92" i="4"/>
  <c r="F91" i="4"/>
  <c r="F97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M52" i="2"/>
  <c r="F93" i="4" l="1"/>
  <c r="F94" i="4"/>
  <c r="F96" i="4"/>
  <c r="F95" i="4"/>
  <c r="D53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2" i="2" s="1"/>
  <c r="H6" i="2"/>
  <c r="G52" i="2" s="1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D52" i="2" s="1"/>
  <c r="F6" i="2"/>
  <c r="E52" i="2" s="1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C52" i="2" l="1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H75" i="3" l="1"/>
  <c r="H77" i="3"/>
  <c r="E74" i="3"/>
  <c r="H78" i="3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75" i="3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98" i="3" s="1"/>
  <c r="C27" i="2"/>
  <c r="C37" i="2"/>
  <c r="C54" i="2" l="1"/>
  <c r="D6" i="3"/>
  <c r="H98" i="3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F100" i="3" l="1"/>
  <c r="D100" i="3" s="1"/>
  <c r="H106" i="3"/>
  <c r="F106" i="3" l="1"/>
  <c r="F29" i="1" s="1"/>
  <c r="C29" i="1"/>
  <c r="D106" i="3"/>
</calcChain>
</file>

<file path=xl/sharedStrings.xml><?xml version="1.0" encoding="utf-8"?>
<sst xmlns="http://schemas.openxmlformats.org/spreadsheetml/2006/main" count="391" uniqueCount="271">
  <si>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</si>
  <si>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</si>
  <si>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</si>
  <si>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</si>
  <si>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</si>
  <si>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</si>
  <si>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</si>
  <si>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</si>
  <si>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</si>
  <si>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</si>
  <si>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</si>
  <si>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</si>
  <si>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</si>
  <si>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</si>
  <si>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</si>
  <si>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</si>
  <si>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</si>
  <si>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</si>
  <si>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</si>
  <si>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</si>
  <si>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</si>
  <si>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</si>
  <si>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</si>
  <si>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</si>
  <si>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</si>
  <si>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</si>
  <si>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</si>
  <si>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</si>
  <si>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</si>
  <si>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</si>
  <si>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</si>
  <si>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</si>
  <si>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</si>
  <si>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</si>
  <si>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</si>
  <si>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</si>
  <si>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</si>
  <si>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</si>
  <si>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</si>
  <si>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</si>
  <si>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</si>
  <si>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</si>
  <si>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</si>
  <si>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</si>
  <si>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</si>
  <si>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</si>
  <si>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</si>
  <si>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</si>
  <si>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</si>
  <si>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</si>
  <si>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</si>
  <si>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</si>
  <si>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</si>
  <si>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</si>
  <si>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</si>
  <si>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</si>
  <si>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</si>
  <si>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</si>
  <si>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</si>
  <si>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</si>
  <si>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</si>
  <si>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</si>
  <si>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</si>
  <si>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</si>
  <si>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</si>
  <si>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</si>
  <si>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</si>
  <si>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</si>
  <si>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</si>
  <si>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</si>
  <si>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</si>
  <si>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</si>
  <si>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</si>
  <si>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</si>
  <si>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</si>
  <si>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</si>
  <si>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</si>
  <si>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</si>
  <si>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</si>
  <si>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</si>
  <si>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</si>
  <si>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</si>
  <si>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</si>
  <si>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</si>
  <si>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</si>
  <si>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</si>
  <si>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</si>
  <si>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</si>
  <si>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</si>
  <si>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</si>
  <si>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</si>
  <si>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</si>
  <si>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</si>
  <si>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</si>
  <si>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</si>
  <si>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</si>
  <si>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</si>
  <si>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</si>
  <si>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</si>
  <si>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</si>
  <si>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</si>
  <si>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</si>
  <si>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</si>
  <si>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</si>
  <si>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</si>
  <si>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</si>
  <si>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</si>
  <si>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</si>
  <si>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</si>
  <si>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</si>
  <si>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</si>
  <si>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</si>
  <si>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</si>
  <si>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</si>
  <si>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</si>
  <si>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</si>
  <si>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</si>
  <si>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</si>
  <si>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</si>
  <si>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</si>
  <si>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</si>
  <si>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</si>
  <si>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</si>
  <si>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</si>
  <si>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</si>
  <si>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</si>
  <si>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</si>
  <si>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</si>
  <si>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</si>
  <si>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</si>
  <si>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</si>
  <si>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</si>
  <si>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</si>
  <si>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</si>
  <si>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</si>
  <si>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</si>
  <si>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</si>
  <si>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</si>
  <si>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</si>
  <si>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</si>
  <si>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</si>
  <si>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</si>
  <si>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</si>
  <si>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</si>
  <si>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</si>
  <si>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</si>
  <si>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</si>
  <si>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</si>
  <si>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</si>
  <si>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</si>
  <si>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</si>
  <si>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</si>
  <si>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</si>
  <si>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</si>
  <si>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</si>
  <si>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</si>
  <si>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</si>
  <si>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</si>
  <si>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</si>
  <si>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</si>
  <si>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</si>
  <si>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</si>
  <si>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</si>
  <si>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</si>
  <si>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</si>
  <si>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</si>
  <si>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</si>
  <si>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</si>
  <si>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</si>
  <si>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</si>
  <si>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</si>
  <si>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</si>
  <si>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</si>
  <si>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</si>
  <si>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</si>
  <si>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</si>
  <si>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</si>
  <si>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</si>
  <si>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</si>
  <si>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</si>
  <si>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</si>
  <si>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</si>
  <si>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</si>
  <si>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</si>
  <si>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</si>
  <si>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</si>
  <si>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</si>
  <si>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</si>
  <si>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</si>
  <si>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</si>
  <si>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</si>
  <si>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</si>
  <si>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</si>
  <si>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</si>
  <si>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</si>
  <si>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</si>
  <si>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</si>
  <si>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</si>
  <si>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</si>
  <si>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</si>
  <si>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</si>
  <si>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</si>
  <si>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</si>
  <si>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</si>
  <si>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</si>
  <si>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</si>
  <si>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</si>
  <si>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</si>
  <si>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</si>
  <si>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</si>
  <si>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</si>
  <si>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</si>
  <si>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</si>
  <si>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</si>
  <si>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</si>
  <si>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</si>
  <si>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</si>
  <si>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</si>
  <si>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</si>
  <si>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</si>
  <si>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</si>
  <si>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</si>
  <si>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</si>
  <si>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</si>
  <si>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</si>
  <si>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</si>
  <si>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</si>
  <si>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</si>
  <si>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</si>
  <si>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</si>
  <si>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</si>
  <si>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</si>
  <si>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</si>
  <si>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</si>
  <si>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</si>
  <si>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</si>
  <si>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</si>
  <si>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</si>
  <si>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</si>
  <si>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</si>
  <si>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</si>
  <si>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</si>
  <si>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</si>
  <si>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</si>
  <si>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</si>
  <si>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</si>
  <si>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</si>
  <si>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</si>
  <si>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</si>
  <si>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</si>
  <si>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</si>
  <si>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</si>
  <si>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</si>
  <si>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</si>
  <si>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</si>
  <si>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</si>
  <si>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</si>
  <si>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</si>
  <si>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</si>
  <si>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</si>
  <si>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</si>
  <si>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</si>
  <si>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2388.HK</t>
  </si>
  <si>
    <t>中银香港</t>
  </si>
  <si>
    <t xml:space="preserve">Superior Cycl. </t>
  </si>
  <si>
    <t>C0014</t>
  </si>
  <si>
    <t>Strongly agree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</si>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</sst>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2.8609905101246377E-2</c:v>
                </c:pt>
                <c:pt idx="1">
                  <c:v>0.11648068007266453</c:v>
                </c:pt>
                <c:pt idx="2">
                  <c:v>1.9313252769435827E-2</c:v>
                </c:pt>
                <c:pt idx="3">
                  <c:v>0</c:v>
                </c:pt>
                <c:pt idx="4">
                  <c:v>0.54295694135635775</c:v>
                </c:pt>
                <c:pt idx="5">
                  <c:v>0</c:v>
                </c:pt>
                <c:pt idx="6">
                  <c:v>0.29263922070029547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215</v>
      </c>
    </row>
    <row r="4" spans="1:5" ht="13.9" x14ac:dyDescent="0.4">
      <c r="B4" s="141" t="s">
        <v>195</v>
      </c>
      <c r="C4" s="188" t="s">
        <v>262</v>
      </c>
    </row>
    <row r="5" spans="1:5" ht="13.9" x14ac:dyDescent="0.4">
      <c r="B5" s="141" t="s">
        <v>196</v>
      </c>
      <c r="C5" s="191" t="s">
        <v>263</v>
      </c>
    </row>
    <row r="6" spans="1:5" ht="13.9" x14ac:dyDescent="0.4">
      <c r="B6" s="141" t="s">
        <v>164</v>
      </c>
      <c r="C6" s="189">
        <v>45593</v>
      </c>
    </row>
    <row r="7" spans="1:5" ht="13.9" x14ac:dyDescent="0.4">
      <c r="B7" s="140" t="s">
        <v>4</v>
      </c>
      <c r="C7" s="190">
        <v>8</v>
      </c>
    </row>
    <row r="8" spans="1:5" ht="13.9" x14ac:dyDescent="0.4">
      <c r="B8" s="140" t="s">
        <v>216</v>
      </c>
      <c r="C8" s="191" t="s">
        <v>264</v>
      </c>
      <c r="E8" s="267"/>
    </row>
    <row r="9" spans="1:5" ht="13.9" x14ac:dyDescent="0.4">
      <c r="B9" s="140" t="s">
        <v>217</v>
      </c>
      <c r="C9" s="192" t="s">
        <v>265</v>
      </c>
    </row>
    <row r="10" spans="1:5" ht="13.9" x14ac:dyDescent="0.4">
      <c r="B10" s="140" t="s">
        <v>218</v>
      </c>
      <c r="C10" s="193">
        <v>10572780266</v>
      </c>
    </row>
    <row r="11" spans="1:5" ht="13.9" x14ac:dyDescent="0.4">
      <c r="B11" s="140" t="s">
        <v>219</v>
      </c>
      <c r="C11" s="192" t="s">
        <v>2</v>
      </c>
    </row>
    <row r="12" spans="1:5" ht="13.9" x14ac:dyDescent="0.4">
      <c r="B12" s="218" t="s">
        <v>10</v>
      </c>
      <c r="C12" s="219">
        <v>45291</v>
      </c>
    </row>
    <row r="13" spans="1:5" ht="13.9" x14ac:dyDescent="0.4">
      <c r="B13" s="218" t="s">
        <v>11</v>
      </c>
      <c r="C13" s="220">
        <v>1000000</v>
      </c>
    </row>
    <row r="14" spans="1:5" ht="13.9" x14ac:dyDescent="0.4">
      <c r="B14" s="218" t="s">
        <v>220</v>
      </c>
      <c r="C14" s="219">
        <v>45473</v>
      </c>
    </row>
    <row r="15" spans="1:5" ht="13.9" x14ac:dyDescent="0.4">
      <c r="B15" s="218" t="s">
        <v>255</v>
      </c>
      <c r="C15" s="176" t="s">
        <v>190</v>
      </c>
    </row>
    <row r="16" spans="1:5" ht="13.9" x14ac:dyDescent="0.4">
      <c r="B16" s="222" t="s">
        <v>97</v>
      </c>
      <c r="C16" s="223">
        <v>0.22500000000000001</v>
      </c>
      <c r="D16" s="24"/>
    </row>
    <row r="17" spans="2:13" ht="13.9" x14ac:dyDescent="0.4">
      <c r="B17" s="240" t="s">
        <v>225</v>
      </c>
      <c r="C17" s="242" t="s">
        <v>266</v>
      </c>
      <c r="D17" s="24"/>
    </row>
    <row r="18" spans="2:13" ht="13.9" x14ac:dyDescent="0.4">
      <c r="B18" s="240" t="s">
        <v>239</v>
      </c>
      <c r="C18" s="242" t="s">
        <v>267</v>
      </c>
      <c r="D18" s="24"/>
    </row>
    <row r="19" spans="2:13" ht="13.9" x14ac:dyDescent="0.4">
      <c r="B19" s="240" t="s">
        <v>240</v>
      </c>
      <c r="C19" s="242" t="s">
        <v>267</v>
      </c>
      <c r="D19" s="24"/>
    </row>
    <row r="20" spans="2:13" ht="13.9" x14ac:dyDescent="0.4">
      <c r="B20" s="241" t="s">
        <v>229</v>
      </c>
      <c r="C20" s="242" t="s">
        <v>267</v>
      </c>
      <c r="D20" s="24"/>
    </row>
    <row r="21" spans="2:13" ht="13.9" x14ac:dyDescent="0.4">
      <c r="B21" s="224" t="s">
        <v>232</v>
      </c>
      <c r="C21" s="242" t="s">
        <v>266</v>
      </c>
      <c r="D21" s="24"/>
    </row>
    <row r="22" spans="2:13" ht="78.75" x14ac:dyDescent="0.4">
      <c r="B22" s="226" t="s">
        <v>231</v>
      </c>
      <c r="C22" s="243" t="s">
        <v>268</v>
      </c>
      <c r="D22" s="24"/>
    </row>
    <row r="24" spans="2:13" ht="13.9" x14ac:dyDescent="0.4">
      <c r="B24" s="115" t="s">
        <v>134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49">
        <v>142573</v>
      </c>
      <c r="D25" s="149">
        <v>77824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106</v>
      </c>
      <c r="C26" s="150">
        <v>4079</v>
      </c>
      <c r="D26" s="150">
        <v>3197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104</v>
      </c>
      <c r="C27" s="150">
        <v>16607</v>
      </c>
      <c r="D27" s="150">
        <v>16950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107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256</v>
      </c>
      <c r="C29" s="150">
        <v>77411</v>
      </c>
      <c r="D29" s="150">
        <v>25020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111</v>
      </c>
      <c r="C30" s="150">
        <v>2134</v>
      </c>
      <c r="D30" s="150">
        <v>1290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110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105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108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15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117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149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16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116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17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18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138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139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137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208</v>
      </c>
      <c r="C44" s="250">
        <f>1.145+0.57</f>
        <v>1.7149999999999999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252</v>
      </c>
      <c r="C45" s="152">
        <f>IF(C44="","",C44*Exchange_Rate/Dashboard!$G$3)</f>
        <v>6.7920792079207912E-2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34</v>
      </c>
      <c r="D47" s="194" t="s">
        <v>197</v>
      </c>
      <c r="E47" s="111" t="s">
        <v>36</v>
      </c>
    </row>
    <row r="48" spans="2:13" ht="13.9" x14ac:dyDescent="0.4">
      <c r="B48" s="3" t="s">
        <v>38</v>
      </c>
      <c r="C48" s="59"/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/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260</v>
      </c>
      <c r="C54" s="59"/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1" t="s">
        <v>71</v>
      </c>
    </row>
    <row r="57" spans="2:5" ht="13.9" x14ac:dyDescent="0.4">
      <c r="B57" s="3" t="s">
        <v>120</v>
      </c>
      <c r="C57" s="59"/>
      <c r="D57" s="60">
        <v>0.6</v>
      </c>
      <c r="E57" s="221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5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259</v>
      </c>
      <c r="C64" s="59"/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1" t="s">
        <v>71</v>
      </c>
    </row>
    <row r="66" spans="2:5" ht="13.9" x14ac:dyDescent="0.4">
      <c r="B66" s="3" t="s">
        <v>72</v>
      </c>
      <c r="C66" s="59"/>
      <c r="D66" s="60">
        <v>0.2</v>
      </c>
      <c r="E66" s="221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1" t="s">
        <v>46</v>
      </c>
    </row>
    <row r="68" spans="2:5" ht="13.9" x14ac:dyDescent="0.4">
      <c r="B68" s="3" t="s">
        <v>119</v>
      </c>
      <c r="C68" s="59"/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/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6" t="s">
        <v>76</v>
      </c>
      <c r="C72" s="247"/>
      <c r="D72" s="248">
        <v>0</v>
      </c>
      <c r="E72" s="249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/>
    </row>
    <row r="83" spans="2:8" ht="14.25" thickTop="1" x14ac:dyDescent="0.4">
      <c r="B83" s="73" t="s">
        <v>221</v>
      </c>
      <c r="C83" s="59"/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269</v>
      </c>
      <c r="D87" s="269">
        <v>0.02</v>
      </c>
    </row>
    <row r="89" spans="2:8" ht="13.5" x14ac:dyDescent="0.35">
      <c r="B89" s="106" t="s">
        <v>128</v>
      </c>
      <c r="C89" s="271">
        <f>C24</f>
        <v>45291</v>
      </c>
      <c r="D89" s="271"/>
      <c r="E89" s="89" t="s">
        <v>207</v>
      </c>
      <c r="F89" s="89" t="s">
        <v>206</v>
      </c>
      <c r="H89" s="31"/>
    </row>
    <row r="90" spans="2:8" ht="13.9" x14ac:dyDescent="0.4">
      <c r="B90" s="12" t="str">
        <f>"(Numbers in "&amp;Data!C4&amp;Dashboard!G6&amp;")"</f>
        <v>(Numbers in 1000000HKD)</v>
      </c>
      <c r="C90" s="272" t="s">
        <v>101</v>
      </c>
      <c r="D90" s="272"/>
      <c r="E90" s="235" t="s">
        <v>102</v>
      </c>
      <c r="F90" s="255" t="s">
        <v>102</v>
      </c>
    </row>
    <row r="91" spans="2:8" ht="13.9" x14ac:dyDescent="0.4">
      <c r="B91" s="3" t="s">
        <v>127</v>
      </c>
      <c r="C91" s="77">
        <f>C25</f>
        <v>142573</v>
      </c>
      <c r="D91" s="209"/>
      <c r="E91" s="251">
        <f>C91</f>
        <v>142573</v>
      </c>
      <c r="F91" s="251">
        <f>C91</f>
        <v>142573</v>
      </c>
    </row>
    <row r="92" spans="2:8" ht="13.9" x14ac:dyDescent="0.4">
      <c r="B92" s="104" t="s">
        <v>106</v>
      </c>
      <c r="C92" s="77">
        <f>C26</f>
        <v>4079</v>
      </c>
      <c r="D92" s="159">
        <f>C92/C91</f>
        <v>2.8609905101246377E-2</v>
      </c>
      <c r="E92" s="252">
        <f>E91*D92</f>
        <v>4078.9999999999995</v>
      </c>
      <c r="F92" s="252">
        <f>F91*D92</f>
        <v>4078.9999999999995</v>
      </c>
    </row>
    <row r="93" spans="2:8" ht="13.9" x14ac:dyDescent="0.4">
      <c r="B93" s="104" t="s">
        <v>247</v>
      </c>
      <c r="C93" s="77">
        <f>C27+C28</f>
        <v>16607</v>
      </c>
      <c r="D93" s="159">
        <f>C93/C91</f>
        <v>0.11648068007266453</v>
      </c>
      <c r="E93" s="252">
        <f>E91*D93</f>
        <v>16607</v>
      </c>
      <c r="F93" s="252">
        <f>F91*D93</f>
        <v>16607</v>
      </c>
    </row>
    <row r="94" spans="2:8" ht="13.9" x14ac:dyDescent="0.4">
      <c r="B94" s="104" t="s">
        <v>256</v>
      </c>
      <c r="C94" s="77">
        <f>C29</f>
        <v>77411</v>
      </c>
      <c r="D94" s="159">
        <f>C94/C91</f>
        <v>0.54295694135635775</v>
      </c>
      <c r="E94" s="253"/>
      <c r="F94" s="252">
        <f>F91*D94</f>
        <v>77411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110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173</v>
      </c>
      <c r="C97" s="77">
        <f>MAX(C30,0)/(1-C16)</f>
        <v>2753.5483870967741</v>
      </c>
      <c r="D97" s="159">
        <f>C97/C91</f>
        <v>1.9313252769435827E-2</v>
      </c>
      <c r="E97" s="253"/>
      <c r="F97" s="252">
        <f>F91*D97</f>
        <v>2753.5483870967741</v>
      </c>
    </row>
    <row r="98" spans="2:7" ht="13.9" x14ac:dyDescent="0.4">
      <c r="B98" s="86" t="s">
        <v>208</v>
      </c>
      <c r="C98" s="237">
        <f>C44</f>
        <v>1.7149999999999999</v>
      </c>
      <c r="D98" s="266"/>
      <c r="E98" s="254">
        <f>F98</f>
        <v>1.48</v>
      </c>
      <c r="F98" s="254">
        <f>0.91+0.57</f>
        <v>1.48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2388.HK : 中银香港</v>
      </c>
      <c r="D2" s="87"/>
      <c r="E2" s="7"/>
      <c r="F2" s="7"/>
      <c r="G2" s="86"/>
      <c r="H2" s="86"/>
    </row>
    <row r="3" spans="1:10" ht="15.75" customHeight="1" x14ac:dyDescent="0.4">
      <c r="B3" s="3" t="s">
        <v>195</v>
      </c>
      <c r="C3" s="277" t="str">
        <f>Inputs!C4</f>
        <v>2388.HK</v>
      </c>
      <c r="D3" s="278"/>
      <c r="E3" s="87"/>
      <c r="F3" s="3" t="s">
        <v>1</v>
      </c>
      <c r="G3" s="132">
        <v>25.25</v>
      </c>
      <c r="H3" s="134" t="s">
        <v>270</v>
      </c>
    </row>
    <row r="4" spans="1:10" ht="15.75" customHeight="1" x14ac:dyDescent="0.4">
      <c r="B4" s="35" t="s">
        <v>196</v>
      </c>
      <c r="C4" s="279" t="str">
        <f>Inputs!C5</f>
        <v>中银香港</v>
      </c>
      <c r="D4" s="280"/>
      <c r="E4" s="87"/>
      <c r="F4" s="3" t="s">
        <v>3</v>
      </c>
      <c r="G4" s="283">
        <f>Inputs!C10</f>
        <v>10572780266</v>
      </c>
      <c r="H4" s="283"/>
      <c r="I4" s="39"/>
    </row>
    <row r="5" spans="1:10" ht="15.75" customHeight="1" x14ac:dyDescent="0.4">
      <c r="B5" s="3" t="s">
        <v>164</v>
      </c>
      <c r="C5" s="281">
        <f>Inputs!C6</f>
        <v>45593</v>
      </c>
      <c r="D5" s="282"/>
      <c r="E5" s="34"/>
      <c r="F5" s="35" t="s">
        <v>100</v>
      </c>
      <c r="G5" s="275">
        <f>G3*G4/1000000</f>
        <v>266962.70171649999</v>
      </c>
      <c r="H5" s="275"/>
      <c r="I5" s="38"/>
      <c r="J5" s="28"/>
    </row>
    <row r="6" spans="1:10" ht="15.75" customHeight="1" x14ac:dyDescent="0.4">
      <c r="B6" s="87" t="s">
        <v>4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6" t="str">
        <f>Inputs!C11</f>
        <v>HKD</v>
      </c>
      <c r="H6" s="276"/>
      <c r="I6" s="38"/>
    </row>
    <row r="7" spans="1:10" ht="15.75" customHeight="1" x14ac:dyDescent="0.4">
      <c r="B7" s="86" t="s">
        <v>193</v>
      </c>
      <c r="C7" s="187" t="str">
        <f>Inputs!C8</f>
        <v xml:space="preserve">Superior Cycl. </v>
      </c>
      <c r="D7" s="187" t="str">
        <f>Inputs!C9</f>
        <v>C0014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191</v>
      </c>
      <c r="F9" s="143" t="s">
        <v>186</v>
      </c>
    </row>
    <row r="10" spans="1:10" ht="15.75" customHeight="1" x14ac:dyDescent="0.4">
      <c r="B10" s="1" t="s">
        <v>176</v>
      </c>
      <c r="C10" s="172">
        <v>4.2000000000000003E-2</v>
      </c>
      <c r="F10" s="110" t="s">
        <v>183</v>
      </c>
    </row>
    <row r="11" spans="1:10" ht="15.75" customHeight="1" thickBot="1" x14ac:dyDescent="0.45">
      <c r="B11" s="122" t="s">
        <v>180</v>
      </c>
      <c r="C11" s="173">
        <v>5.2299999999999999E-2</v>
      </c>
      <c r="D11" s="137" t="s">
        <v>190</v>
      </c>
      <c r="F11" s="110" t="s">
        <v>178</v>
      </c>
    </row>
    <row r="12" spans="1:10" ht="15.75" customHeight="1" thickTop="1" x14ac:dyDescent="0.4">
      <c r="B12" s="87" t="s">
        <v>253</v>
      </c>
      <c r="C12" s="174">
        <v>7.0000000000000007E-2</v>
      </c>
      <c r="D12" s="172">
        <v>7.5250000000000011E-2</v>
      </c>
      <c r="F12" s="110"/>
    </row>
    <row r="13" spans="1:10" ht="15.75" customHeight="1" x14ac:dyDescent="0.4"/>
    <row r="14" spans="1:10" ht="15.75" customHeight="1" x14ac:dyDescent="0.4">
      <c r="B14" s="1" t="s">
        <v>177</v>
      </c>
      <c r="C14" s="172">
        <v>1.8100000000000002E-2</v>
      </c>
      <c r="F14" s="110" t="s">
        <v>182</v>
      </c>
    </row>
    <row r="15" spans="1:10" ht="15.75" customHeight="1" x14ac:dyDescent="0.4">
      <c r="B15" s="1" t="s">
        <v>187</v>
      </c>
      <c r="C15" s="172">
        <v>6.5000000000000002E-2</v>
      </c>
      <c r="F15" s="110" t="s">
        <v>181</v>
      </c>
    </row>
    <row r="16" spans="1:10" ht="15.75" customHeight="1" thickBot="1" x14ac:dyDescent="0.45">
      <c r="B16" s="122" t="s">
        <v>188</v>
      </c>
      <c r="C16" s="173">
        <v>0.16</v>
      </c>
      <c r="D16" s="265" t="str">
        <f>Inputs!C15</f>
        <v>HK</v>
      </c>
      <c r="F16" s="110" t="s">
        <v>179</v>
      </c>
    </row>
    <row r="17" spans="1:8" ht="15.75" customHeight="1" thickTop="1" x14ac:dyDescent="0.4">
      <c r="B17" s="87" t="s">
        <v>254</v>
      </c>
      <c r="C17" s="175">
        <v>8.0500000000000002E-2</v>
      </c>
      <c r="D17" s="176"/>
    </row>
    <row r="18" spans="1:8" ht="15.75" customHeight="1" x14ac:dyDescent="0.4"/>
    <row r="19" spans="1:8" ht="15.75" customHeight="1" x14ac:dyDescent="0.4">
      <c r="B19" s="142" t="s">
        <v>184</v>
      </c>
      <c r="C19" s="135" t="s">
        <v>52</v>
      </c>
      <c r="D19" s="87"/>
      <c r="E19" s="87"/>
      <c r="F19" s="142" t="s">
        <v>213</v>
      </c>
      <c r="G19" s="87"/>
      <c r="H19" s="87"/>
    </row>
    <row r="20" spans="1:8" ht="15.75" customHeight="1" x14ac:dyDescent="0.4">
      <c r="B20" s="137" t="s">
        <v>170</v>
      </c>
      <c r="C20" s="171">
        <f>Fin_Analysis!I75</f>
        <v>2.8609905101246377E-2</v>
      </c>
      <c r="F20" s="87" t="s">
        <v>212</v>
      </c>
      <c r="G20" s="172">
        <v>0.15</v>
      </c>
    </row>
    <row r="21" spans="1:8" ht="15.75" customHeight="1" x14ac:dyDescent="0.4">
      <c r="B21" s="137" t="s">
        <v>245</v>
      </c>
      <c r="C21" s="171">
        <f>Fin_Analysis!I77</f>
        <v>0.11648068007266453</v>
      </c>
      <c r="F21" s="87"/>
      <c r="G21" s="29"/>
    </row>
    <row r="22" spans="1:8" ht="15.75" customHeight="1" x14ac:dyDescent="0.4">
      <c r="B22" s="137" t="s">
        <v>192</v>
      </c>
      <c r="C22" s="171">
        <f>Fin_Analysis!I78</f>
        <v>1.9313252769435827E-2</v>
      </c>
      <c r="F22" s="142" t="s">
        <v>185</v>
      </c>
    </row>
    <row r="23" spans="1:8" ht="15.75" customHeight="1" x14ac:dyDescent="0.4">
      <c r="B23" s="137" t="s">
        <v>172</v>
      </c>
      <c r="C23" s="171">
        <f>Fin_Analysis!I80</f>
        <v>0</v>
      </c>
      <c r="F23" s="140" t="s">
        <v>189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171</v>
      </c>
      <c r="C24" s="171">
        <f>Fin_Analysis!I81</f>
        <v>0.54295694135635775</v>
      </c>
      <c r="F24" s="140" t="s">
        <v>258</v>
      </c>
      <c r="G24" s="268">
        <f>G3/(Fin_Analysis!H86*G7)</f>
        <v>8.25617836197112</v>
      </c>
    </row>
    <row r="25" spans="1:8" ht="15.75" customHeight="1" x14ac:dyDescent="0.4">
      <c r="B25" s="137" t="s">
        <v>244</v>
      </c>
      <c r="C25" s="171">
        <f>Fin_Analysis!I82</f>
        <v>0</v>
      </c>
      <c r="F25" s="140" t="s">
        <v>175</v>
      </c>
      <c r="G25" s="171">
        <f>Fin_Analysis!I88</f>
        <v>0.48392649408781224</v>
      </c>
    </row>
    <row r="26" spans="1:8" ht="15.75" customHeight="1" x14ac:dyDescent="0.4">
      <c r="B26" s="138" t="s">
        <v>174</v>
      </c>
      <c r="C26" s="171">
        <f>Fin_Analysis!I83</f>
        <v>0.29263922070029547</v>
      </c>
      <c r="F26" s="141" t="s">
        <v>194</v>
      </c>
      <c r="G26" s="178">
        <f>Fin_Analysis!H88*Exchange_Rate/G3</f>
        <v>5.861386138613861E-2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238</v>
      </c>
      <c r="G28" s="273" t="s">
        <v>257</v>
      </c>
      <c r="H28" s="273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15.050365206815078</v>
      </c>
      <c r="D29" s="129">
        <f>G29*(1+G20)</f>
        <v>28.494949968159474</v>
      </c>
      <c r="E29" s="87"/>
      <c r="F29" s="131">
        <f>IF(Fin_Analysis!C108="Profit",Fin_Analysis!F100,IF(Fin_Analysis!C108="Dividend",Fin_Analysis!F103,Fin_Analysis!F106))</f>
        <v>17.70631200801774</v>
      </c>
      <c r="G29" s="274">
        <f>IF(Fin_Analysis!C108="Profit",Fin_Analysis!I100,IF(Fin_Analysis!C108="Dividend",Fin_Analysis!I103,Fin_Analysis!I106))</f>
        <v>24.778217363616935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223</v>
      </c>
      <c r="C31"/>
    </row>
    <row r="32" spans="1:8" ht="15.75" customHeight="1" x14ac:dyDescent="0.4">
      <c r="A32"/>
      <c r="B32" s="196" t="s">
        <v>224</v>
      </c>
      <c r="C32" s="224"/>
    </row>
    <row r="33" spans="1:3" ht="15.75" customHeight="1" x14ac:dyDescent="0.4">
      <c r="A33"/>
      <c r="B33" s="20" t="s">
        <v>225</v>
      </c>
      <c r="C33" s="245" t="str">
        <f>Inputs!C17</f>
        <v>Strongly agree</v>
      </c>
    </row>
    <row r="34" spans="1:3" ht="15.75" customHeight="1" x14ac:dyDescent="0.4">
      <c r="A34"/>
      <c r="B34" s="19" t="s">
        <v>226</v>
      </c>
      <c r="C34" s="225" t="e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#DIV/0!</v>
      </c>
    </row>
    <row r="35" spans="1:3" ht="15.75" customHeight="1" x14ac:dyDescent="0.4">
      <c r="A35"/>
      <c r="B35" s="196" t="s">
        <v>227</v>
      </c>
      <c r="C35" s="224"/>
    </row>
    <row r="36" spans="1:3" ht="15.75" customHeight="1" x14ac:dyDescent="0.4">
      <c r="A36"/>
      <c r="B36" s="20" t="s">
        <v>239</v>
      </c>
      <c r="C36" s="245" t="str">
        <f>Inputs!C18</f>
        <v>agree</v>
      </c>
    </row>
    <row r="37" spans="1:3" ht="15.75" customHeight="1" x14ac:dyDescent="0.4">
      <c r="A37"/>
      <c r="B37" s="20" t="s">
        <v>240</v>
      </c>
      <c r="C37" s="245" t="str">
        <f>Inputs!C19</f>
        <v>agree</v>
      </c>
    </row>
    <row r="38" spans="1:3" ht="15.75" customHeight="1" x14ac:dyDescent="0.4">
      <c r="A38"/>
      <c r="B38" s="196" t="s">
        <v>228</v>
      </c>
      <c r="C38" s="224"/>
    </row>
    <row r="39" spans="1:3" ht="15.75" customHeight="1" x14ac:dyDescent="0.4">
      <c r="A39"/>
      <c r="B39" s="19" t="s">
        <v>229</v>
      </c>
      <c r="C39" s="245" t="str">
        <f>Inputs!C20</f>
        <v>agree</v>
      </c>
    </row>
    <row r="40" spans="1:3" ht="15.75" customHeight="1" x14ac:dyDescent="0.4">
      <c r="A40"/>
      <c r="B40" s="1" t="s">
        <v>232</v>
      </c>
      <c r="C40" s="245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230</v>
      </c>
      <c r="C42"/>
    </row>
    <row r="43" spans="1:3" ht="65.650000000000006" x14ac:dyDescent="0.4">
      <c r="A43"/>
      <c r="B43" s="226" t="s">
        <v>231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2" sqref="D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8" t="s">
        <v>200</v>
      </c>
      <c r="F2" s="119" t="s">
        <v>203</v>
      </c>
      <c r="G2" s="148" t="s">
        <v>204</v>
      </c>
      <c r="H2" s="147" t="s">
        <v>205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1">
        <f>Inputs!C12</f>
        <v>45291</v>
      </c>
      <c r="E3" s="146" t="s">
        <v>201</v>
      </c>
      <c r="F3" s="85" t="str">
        <f>H14</f>
        <v/>
      </c>
      <c r="G3" s="85">
        <f>C14</f>
        <v>119133.45161290323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1000000</v>
      </c>
      <c r="D4" s="1" t="str">
        <f>Dashboard!G6</f>
        <v>HKD</v>
      </c>
      <c r="E4" s="146" t="s">
        <v>202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0">
        <f>IF(Inputs!C25=""," ",Inputs!C25)</f>
        <v>142573</v>
      </c>
      <c r="D6" s="200">
        <f>IF(Inputs!D25="","",Inputs!D25)</f>
        <v>77824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0.83199270148026305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199">
        <f>IF(Inputs!C26="","",Inputs!C26)</f>
        <v>4079</v>
      </c>
      <c r="D8" s="199">
        <f>IF(Inputs!D26="","",Inputs!D26)</f>
        <v>3197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1">
        <f t="shared" ref="C9:M9" si="2">IF(C6="","",(C6-C8))</f>
        <v>138494</v>
      </c>
      <c r="D9" s="151">
        <f t="shared" si="2"/>
        <v>74627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199">
        <f>IF(Inputs!C27="","",Inputs!C27)</f>
        <v>16607</v>
      </c>
      <c r="D10" s="199">
        <f>IF(Inputs!D27="","",Inputs!D27)</f>
        <v>16950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241</v>
      </c>
      <c r="C12" s="199">
        <f>IF(Inputs!C30="","",MAX(Inputs!C30,0)/(1-Fin_Analysis!$I$84))</f>
        <v>2753.5483870967741</v>
      </c>
      <c r="D12" s="199">
        <f>IF(Inputs!D30="","",MAX(Inputs!D30,0)/(1-Fin_Analysis!$I$84))</f>
        <v>1664.516129032258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242</v>
      </c>
      <c r="C13" s="229">
        <f t="shared" ref="C13:M13" si="3">IF(C14="","",C14/C6)</f>
        <v>0.83559616205665332</v>
      </c>
      <c r="D13" s="229">
        <f t="shared" si="3"/>
        <v>0.71973278000318341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234</v>
      </c>
      <c r="C14" s="230">
        <f>IF(C6="","",C9-C10-MAX(C11,0)-MAX(C12,0))</f>
        <v>119133.45161290323</v>
      </c>
      <c r="D14" s="230">
        <f t="shared" ref="D14:M14" si="4">IF(D6="","",D9-D10-MAX(D11,0)-MAX(D12,0))</f>
        <v>56012.483870967742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243</v>
      </c>
      <c r="C15" s="232">
        <f>IF(D14="","",IF(ABS(C14+D14)=ABS(C14)+ABS(D14),IF(C14&lt;0,-1,1)*(C14-D14)/D14,"Turn"))</f>
        <v>1.1269089206496017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256</v>
      </c>
      <c r="C17" s="199">
        <f>IF(Inputs!C29="","",Inputs!C29)</f>
        <v>77411</v>
      </c>
      <c r="D17" s="199">
        <f>IF(Inputs!D29="","",Inputs!D29)</f>
        <v>25020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236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1">
        <f>IF(C6="","",C14-MAX(C16,0)-MAX(C17,0)-ABS(MAX(C21,0)-MAX(C19,0)))</f>
        <v>41722.451612903227</v>
      </c>
      <c r="D22" s="161">
        <f t="shared" ref="D22:M22" si="8">IF(D6="","",D14-MAX(D16,0)-MAX(D17,0)-ABS(MAX(D21,0)-MAX(D19,0)))</f>
        <v>30992.483870967742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3">
        <f t="shared" ref="C23:M23" si="9">IF(C6="","",C24/C6)</f>
        <v>0.226795396042729</v>
      </c>
      <c r="D23" s="153">
        <f t="shared" si="9"/>
        <v>0.30863454718338817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4">
        <f>IF(C6="","",C22*(1-Fin_Analysis!$I$84))</f>
        <v>32334.9</v>
      </c>
      <c r="D24" s="77">
        <f>IF(D6="","",D22*(1-Fin_Analysis!$I$84))</f>
        <v>24019.174999999999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129</v>
      </c>
      <c r="C25" s="233">
        <f>IF(D24="","",IF(ABS(C24+D24)=ABS(C24)+ABS(D24),IF(C24&lt;0,-1,1)*(C24-D24)/D24,"Turn"))</f>
        <v>0.34621193275789042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251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6">
        <f t="shared" ref="C42:M42" si="34">IF(C6="","",C8/C6)</f>
        <v>2.8609905101246377E-2</v>
      </c>
      <c r="D42" s="156">
        <f t="shared" si="34"/>
        <v>4.1079872532894739E-2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235</v>
      </c>
      <c r="C43" s="153">
        <f t="shared" ref="C43:M43" si="35">IF(C6="","",(C10+MAX(C11,0))/C6)</f>
        <v>0.11648068007266453</v>
      </c>
      <c r="D43" s="153">
        <f t="shared" si="35"/>
        <v>0.21779913651315788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3">
        <f t="shared" ref="C45:M45" si="37">IF(C6="","",MAX(C17,0)/C6)</f>
        <v>0.54295694135635775</v>
      </c>
      <c r="D45" s="153">
        <f t="shared" si="37"/>
        <v>0.32149465460526316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3">
        <f>IF(C6="","",MAX(C12,0)/C6)</f>
        <v>1.9313252769435827E-2</v>
      </c>
      <c r="D46" s="153">
        <f t="shared" ref="D46:M46" si="38">IF(D6="","",MAX(D12,0)/D6)</f>
        <v>2.1388210950764007E-2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237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3">
        <f t="shared" ref="C48:M48" si="40">IF(C6="","",C22/C6)</f>
        <v>0.29263922070029547</v>
      </c>
      <c r="D48" s="153">
        <f t="shared" si="40"/>
        <v>0.3982381253979202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261</v>
      </c>
      <c r="C52" s="153" t="e">
        <f>IF(D6="","",C16/(C6-D6))</f>
        <v>#VALUE!</v>
      </c>
      <c r="D52" s="153" t="str">
        <f t="shared" ref="D52:M52" si="43">IF(E6="","",D16/(D6-E6))</f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125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20</v>
      </c>
      <c r="C54" s="156" t="e">
        <f>IF(C36="","",(C27-C36)/C27)</f>
        <v>#DIV/0!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121</v>
      </c>
      <c r="C55" s="157" t="str">
        <f t="shared" ref="C55:M55" si="45">IF(OR(C22="",C35=""),"",IF(C35&lt;=0,"-",C22/C35))</f>
        <v>-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123</v>
      </c>
      <c r="C56" s="153">
        <f t="shared" ref="C56:M56" si="46">IF(C22="","",IF(MAX(C17,0)&lt;=0,"-",C17/C22))</f>
        <v>1.8553799455077948</v>
      </c>
      <c r="D56" s="153">
        <f t="shared" si="46"/>
        <v>0.80729250692415533</v>
      </c>
      <c r="E56" s="153" t="str">
        <f t="shared" si="46"/>
        <v/>
      </c>
      <c r="F56" s="153" t="str">
        <f t="shared" si="46"/>
        <v/>
      </c>
      <c r="G56" s="153" t="str">
        <f t="shared" si="46"/>
        <v/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21</v>
      </c>
      <c r="C57" s="158" t="e">
        <f t="shared" ref="C57:M57" si="47">IF(C28="","",C28/C31)</f>
        <v>#DIV/0!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85" zoomScaleNormal="100" workbookViewId="0">
      <selection activeCell="I100" sqref="I100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4">
        <f>Inputs!C83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197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43</v>
      </c>
      <c r="I14" s="205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159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5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7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3">
        <f>Inputs!C84</f>
        <v>0</v>
      </c>
      <c r="E57" s="282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71">
        <f>Data!C5</f>
        <v>45291</v>
      </c>
      <c r="D72" s="271"/>
      <c r="E72" s="285" t="s">
        <v>207</v>
      </c>
      <c r="F72" s="285"/>
      <c r="H72" s="285" t="s">
        <v>206</v>
      </c>
      <c r="I72" s="285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1000000HKD)</v>
      </c>
      <c r="C73" s="272" t="s">
        <v>101</v>
      </c>
      <c r="D73" s="272"/>
      <c r="E73" s="286" t="s">
        <v>102</v>
      </c>
      <c r="F73" s="272"/>
      <c r="H73" s="286" t="s">
        <v>102</v>
      </c>
      <c r="I73" s="272"/>
      <c r="K73" s="24"/>
    </row>
    <row r="74" spans="1:11" ht="15" customHeight="1" x14ac:dyDescent="0.4">
      <c r="B74" s="3" t="s">
        <v>127</v>
      </c>
      <c r="C74" s="77">
        <f>Data!C6</f>
        <v>142573</v>
      </c>
      <c r="D74" s="209"/>
      <c r="E74" s="238">
        <f>Inputs!E91</f>
        <v>142573</v>
      </c>
      <c r="F74" s="209"/>
      <c r="H74" s="238">
        <f>Inputs!F91</f>
        <v>142573</v>
      </c>
      <c r="I74" s="209"/>
      <c r="K74" s="24"/>
    </row>
    <row r="75" spans="1:11" ht="15" customHeight="1" x14ac:dyDescent="0.4">
      <c r="B75" s="104" t="s">
        <v>106</v>
      </c>
      <c r="C75" s="77">
        <f>Data!C8</f>
        <v>4079</v>
      </c>
      <c r="D75" s="159">
        <f>C75/$C$74</f>
        <v>2.8609905101246377E-2</v>
      </c>
      <c r="E75" s="238">
        <f>Inputs!E92</f>
        <v>4078.9999999999995</v>
      </c>
      <c r="F75" s="160">
        <f>E75/E74</f>
        <v>2.8609905101246377E-2</v>
      </c>
      <c r="H75" s="238">
        <f>Inputs!F92</f>
        <v>4078.9999999999995</v>
      </c>
      <c r="I75" s="160">
        <f>H75/$H$74</f>
        <v>2.8609905101246377E-2</v>
      </c>
      <c r="K75" s="24"/>
    </row>
    <row r="76" spans="1:11" ht="15" customHeight="1" x14ac:dyDescent="0.4">
      <c r="B76" s="35" t="s">
        <v>96</v>
      </c>
      <c r="C76" s="161">
        <f>C74-C75</f>
        <v>138494</v>
      </c>
      <c r="D76" s="210"/>
      <c r="E76" s="162">
        <f>E74-E75</f>
        <v>138494</v>
      </c>
      <c r="F76" s="210"/>
      <c r="H76" s="162">
        <f>H74-H75</f>
        <v>138494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16607</v>
      </c>
      <c r="D77" s="159">
        <f>C77/$C$74</f>
        <v>0.11648068007266453</v>
      </c>
      <c r="E77" s="238">
        <f>Inputs!E93</f>
        <v>16607</v>
      </c>
      <c r="F77" s="160">
        <f>E77/E74</f>
        <v>0.11648068007266453</v>
      </c>
      <c r="H77" s="238">
        <f>Inputs!F93</f>
        <v>16607</v>
      </c>
      <c r="I77" s="160">
        <f>H77/$H$74</f>
        <v>0.11648068007266453</v>
      </c>
      <c r="K77" s="24"/>
    </row>
    <row r="78" spans="1:11" ht="15" customHeight="1" x14ac:dyDescent="0.4">
      <c r="B78" s="73" t="s">
        <v>173</v>
      </c>
      <c r="C78" s="77">
        <f>MAX(Data!C12,0)</f>
        <v>2753.5483870967741</v>
      </c>
      <c r="D78" s="159">
        <f>C78/$C$74</f>
        <v>1.9313252769435827E-2</v>
      </c>
      <c r="E78" s="180">
        <f>E74*F78</f>
        <v>2753.5483870967741</v>
      </c>
      <c r="F78" s="160">
        <f>I78</f>
        <v>1.9313252769435827E-2</v>
      </c>
      <c r="H78" s="238">
        <f>Inputs!F97</f>
        <v>2753.5483870967741</v>
      </c>
      <c r="I78" s="160">
        <f>H78/$H$74</f>
        <v>1.9313252769435827E-2</v>
      </c>
      <c r="K78" s="24"/>
    </row>
    <row r="79" spans="1:11" ht="15" customHeight="1" x14ac:dyDescent="0.4">
      <c r="B79" s="256" t="s">
        <v>233</v>
      </c>
      <c r="C79" s="257">
        <f>C76-C77-C78</f>
        <v>119133.45161290323</v>
      </c>
      <c r="D79" s="258">
        <f>C79/C74</f>
        <v>0.83559616205665332</v>
      </c>
      <c r="E79" s="259">
        <f>E76-E77-E78</f>
        <v>119133.45161290323</v>
      </c>
      <c r="F79" s="258">
        <f>E79/E74</f>
        <v>0.83559616205665332</v>
      </c>
      <c r="G79" s="260"/>
      <c r="H79" s="259">
        <f>H76-H77-H78</f>
        <v>119133.45161290323</v>
      </c>
      <c r="I79" s="258">
        <f>H79/H74</f>
        <v>0.83559616205665332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132</v>
      </c>
    </row>
    <row r="81" spans="1:11" ht="15" customHeight="1" x14ac:dyDescent="0.4">
      <c r="B81" s="104" t="s">
        <v>256</v>
      </c>
      <c r="C81" s="77">
        <f>MAX(Data!C17,0)</f>
        <v>77411</v>
      </c>
      <c r="D81" s="159">
        <f>C81/$C$74</f>
        <v>0.54295694135635775</v>
      </c>
      <c r="E81" s="180">
        <f>E74*F81</f>
        <v>77411</v>
      </c>
      <c r="F81" s="160">
        <f>I81</f>
        <v>0.54295694135635775</v>
      </c>
      <c r="H81" s="238">
        <f>Inputs!F94</f>
        <v>77411</v>
      </c>
      <c r="I81" s="160">
        <f>H81/$H$74</f>
        <v>0.54295694135635775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126</v>
      </c>
      <c r="C83" s="163">
        <f>C79-C81-C82-C80</f>
        <v>41722.451612903227</v>
      </c>
      <c r="D83" s="164">
        <f>C83/$C$74</f>
        <v>0.29263922070029547</v>
      </c>
      <c r="E83" s="165">
        <f>E79-E81-E82-E80</f>
        <v>41722.451612903227</v>
      </c>
      <c r="F83" s="164">
        <f>E83/E74</f>
        <v>0.29263922070029547</v>
      </c>
      <c r="H83" s="165">
        <f>H79-H81-H82-H80</f>
        <v>41722.451612903227</v>
      </c>
      <c r="I83" s="164">
        <f>H83/$H$74</f>
        <v>0.29263922070029547</v>
      </c>
      <c r="K83" s="24"/>
    </row>
    <row r="84" spans="1:11" ht="15" customHeight="1" thickTop="1" x14ac:dyDescent="0.4">
      <c r="B84" s="28" t="s">
        <v>97</v>
      </c>
      <c r="C84" s="211"/>
      <c r="D84" s="159">
        <f>I84</f>
        <v>0.22500000000000001</v>
      </c>
      <c r="E84" s="212"/>
      <c r="F84" s="179">
        <f t="shared" ref="F84" si="3">I84</f>
        <v>0.22500000000000001</v>
      </c>
      <c r="H84" s="212"/>
      <c r="I84" s="202">
        <f>Inputs!C16</f>
        <v>0.22500000000000001</v>
      </c>
      <c r="K84" s="24"/>
    </row>
    <row r="85" spans="1:11" ht="15" customHeight="1" x14ac:dyDescent="0.4">
      <c r="B85" s="263" t="s">
        <v>165</v>
      </c>
      <c r="C85" s="257">
        <f>C83*(1-I84)</f>
        <v>32334.9</v>
      </c>
      <c r="D85" s="258">
        <f>C85/$C$74</f>
        <v>0.226795396042729</v>
      </c>
      <c r="E85" s="264">
        <f>E83*(1-F84)</f>
        <v>32334.9</v>
      </c>
      <c r="F85" s="258">
        <f>E85/E74</f>
        <v>0.226795396042729</v>
      </c>
      <c r="G85" s="260"/>
      <c r="H85" s="264">
        <f>H83*(1-I84)</f>
        <v>32334.9</v>
      </c>
      <c r="I85" s="258">
        <f>H85/$H$74</f>
        <v>0.226795396042729</v>
      </c>
      <c r="K85" s="24"/>
    </row>
    <row r="86" spans="1:11" ht="15" customHeight="1" x14ac:dyDescent="0.4">
      <c r="B86" s="87" t="s">
        <v>161</v>
      </c>
      <c r="C86" s="167">
        <f>C85*Data!C4/Common_Shares</f>
        <v>3.0583157113349584</v>
      </c>
      <c r="D86" s="209"/>
      <c r="E86" s="168">
        <f>E85*Data!C4/Common_Shares</f>
        <v>3.0583157113349584</v>
      </c>
      <c r="F86" s="209"/>
      <c r="H86" s="168">
        <f>H85*Data!C4/Common_Shares</f>
        <v>3.0583157113349584</v>
      </c>
      <c r="I86" s="209"/>
      <c r="K86" s="24"/>
    </row>
    <row r="87" spans="1:11" ht="15" customHeight="1" x14ac:dyDescent="0.4">
      <c r="B87" s="87" t="s">
        <v>209</v>
      </c>
      <c r="C87" s="261">
        <f>C86*Exchange_Rate/Dashboard!G3</f>
        <v>0.12112141431029538</v>
      </c>
      <c r="D87" s="209"/>
      <c r="E87" s="262">
        <f>E86*Exchange_Rate/Dashboard!G3</f>
        <v>0.12112141431029538</v>
      </c>
      <c r="F87" s="209"/>
      <c r="H87" s="262">
        <f>H86*Exchange_Rate/Dashboard!G3</f>
        <v>0.12112141431029538</v>
      </c>
      <c r="I87" s="209"/>
      <c r="K87" s="24"/>
    </row>
    <row r="88" spans="1:11" ht="15" customHeight="1" x14ac:dyDescent="0.4">
      <c r="B88" s="86" t="s">
        <v>208</v>
      </c>
      <c r="C88" s="169">
        <f>Inputs!C44</f>
        <v>1.7149999999999999</v>
      </c>
      <c r="D88" s="166">
        <f>C88/C86</f>
        <v>0.56076617389229588</v>
      </c>
      <c r="E88" s="170">
        <f>Inputs!E98</f>
        <v>1.48</v>
      </c>
      <c r="F88" s="166">
        <f>E88/E86</f>
        <v>0.48392649408781224</v>
      </c>
      <c r="H88" s="170">
        <f>Inputs!F98</f>
        <v>1.48</v>
      </c>
      <c r="I88" s="166">
        <f>H88/H86</f>
        <v>0.48392649408781224</v>
      </c>
      <c r="K88" s="24"/>
    </row>
    <row r="89" spans="1:11" ht="15" customHeight="1" x14ac:dyDescent="0.4">
      <c r="B89" s="87" t="s">
        <v>222</v>
      </c>
      <c r="C89" s="261">
        <f>C88*Exchange_Rate/Dashboard!G3</f>
        <v>6.7920792079207912E-2</v>
      </c>
      <c r="D89" s="209"/>
      <c r="E89" s="261">
        <f>E88*Exchange_Rate/Dashboard!G3</f>
        <v>5.861386138613861E-2</v>
      </c>
      <c r="F89" s="209"/>
      <c r="H89" s="261">
        <f>H88*Exchange_Rate/Dashboard!G3</f>
        <v>5.861386138613861E-2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8" t="str">
        <f>Inputs!C15</f>
        <v>HK</v>
      </c>
      <c r="D92" s="10" t="s">
        <v>157</v>
      </c>
      <c r="E92" s="285" t="s">
        <v>207</v>
      </c>
      <c r="F92" s="285"/>
      <c r="G92" s="87"/>
      <c r="H92" s="285" t="s">
        <v>206</v>
      </c>
      <c r="I92" s="285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7.5250000000000011E-2</v>
      </c>
      <c r="D93" s="239">
        <f>Inputs!C86</f>
        <v>5</v>
      </c>
      <c r="E93" s="87" t="s">
        <v>210</v>
      </c>
      <c r="F93" s="144">
        <f>FV(E87,D93,0,-(E86/(C93-D94)))*Exchange_Rate</f>
        <v>98.042250925521969</v>
      </c>
      <c r="H93" s="87" t="s">
        <v>210</v>
      </c>
      <c r="I93" s="144">
        <f>FV(H87,D93,0,-(H86/(C93-D94)))*Exchange_Rate</f>
        <v>98.042250925521969</v>
      </c>
      <c r="K93" s="24"/>
    </row>
    <row r="94" spans="1:11" ht="15" customHeight="1" x14ac:dyDescent="0.4">
      <c r="B94" s="1" t="s">
        <v>212</v>
      </c>
      <c r="C94" s="182">
        <f>Dashboard!G20</f>
        <v>0.15</v>
      </c>
      <c r="D94" s="270">
        <f>Inputs!D87</f>
        <v>0.02</v>
      </c>
      <c r="E94" s="87" t="s">
        <v>211</v>
      </c>
      <c r="F94" s="144">
        <f>FV(E89,D93,0,-(E88/(C93-D94)))*Exchange_Rate</f>
        <v>35.613717921444028</v>
      </c>
      <c r="H94" s="87" t="s">
        <v>211</v>
      </c>
      <c r="I94" s="144">
        <f>FV(H89,D93,0,-(H88/(C93-D94)))*Exchange_Rate</f>
        <v>35.613717921444028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214</v>
      </c>
      <c r="E96" s="183" t="str">
        <f>E72</f>
        <v>Pessimistic Case</v>
      </c>
      <c r="F96" s="227" t="s">
        <v>238</v>
      </c>
      <c r="H96" s="183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515363.0505121703</v>
      </c>
      <c r="D97" s="213"/>
      <c r="E97" s="123">
        <f>PV(C94,D93,0,-F93)</f>
        <v>48.744326236446753</v>
      </c>
      <c r="F97" s="213"/>
      <c r="H97" s="123">
        <f>PV(C94,D93,0,-I93)</f>
        <v>48.744326236446753</v>
      </c>
      <c r="I97" s="123">
        <f>PV(C93,D93,0,-I93)</f>
        <v>68.212822081911852</v>
      </c>
      <c r="K97" s="24"/>
    </row>
    <row r="98" spans="2:11" ht="15" customHeight="1" x14ac:dyDescent="0.4">
      <c r="B98" s="28" t="s">
        <v>145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115</v>
      </c>
      <c r="C100" s="91">
        <f>C97+C98+$C$99</f>
        <v>515363.0505121703</v>
      </c>
      <c r="D100" s="109">
        <f>MIN(F100*(1-C94),E100)</f>
        <v>41.432677300979741</v>
      </c>
      <c r="E100" s="109">
        <f>MAX(E97+H98+E99,0)</f>
        <v>48.744326236446753</v>
      </c>
      <c r="F100" s="109">
        <f>(E100+H100)/2</f>
        <v>48.744326236446753</v>
      </c>
      <c r="H100" s="109">
        <f>MAX(C100*Data!$C$4/Common_Shares,0)</f>
        <v>48.744326236446753</v>
      </c>
      <c r="I100" s="109">
        <f>MAX(I97+H98+H99,0)</f>
        <v>68.212822081911852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214</v>
      </c>
      <c r="E102" s="183" t="str">
        <f>E96</f>
        <v>Pessimistic Case</v>
      </c>
      <c r="F102" s="227" t="s">
        <v>238</v>
      </c>
      <c r="H102" s="183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187204.9461820088</v>
      </c>
      <c r="D103" s="109">
        <f>MIN(F103*(1-C94),E103)</f>
        <v>15.050365206815078</v>
      </c>
      <c r="E103" s="123">
        <f>PV(C94,D93,0,-F94)</f>
        <v>17.70631200801774</v>
      </c>
      <c r="F103" s="109">
        <f>(E103+H103)/2</f>
        <v>17.70631200801774</v>
      </c>
      <c r="H103" s="123">
        <f>PV(C94,D93,0,-I94)</f>
        <v>17.70631200801774</v>
      </c>
      <c r="I103" s="109">
        <f>PV(C93,D93,0,-I94)</f>
        <v>24.778217363616935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198</v>
      </c>
      <c r="C105" s="127" t="str">
        <f>C102</f>
        <v>HKD</v>
      </c>
      <c r="D105" s="124" t="s">
        <v>214</v>
      </c>
      <c r="E105" s="184" t="str">
        <f>E96</f>
        <v>Pessimistic Case</v>
      </c>
      <c r="F105" s="227" t="s">
        <v>238</v>
      </c>
      <c r="H105" s="184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199</v>
      </c>
      <c r="C106" s="91">
        <f>E106*Common_Shares/Data!C4</f>
        <v>351283.99834708963</v>
      </c>
      <c r="D106" s="109">
        <f>(D100+D103)/2</f>
        <v>28.24152125389741</v>
      </c>
      <c r="E106" s="123">
        <f>(E100+E103)/2</f>
        <v>33.22531912223225</v>
      </c>
      <c r="F106" s="109">
        <f>(F100+F103)/2</f>
        <v>33.22531912223225</v>
      </c>
      <c r="H106" s="123">
        <f>(H100+H103)/2</f>
        <v>33.22531912223225</v>
      </c>
      <c r="I106" s="123">
        <f>(I100+I103)/2</f>
        <v>46.495519722764392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2024-12-11T09:47:01Z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