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50AA00E-756E-4316-A2E5-6B4F9A8FEA3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F96" i="4" l="1"/>
  <c r="E92" i="4"/>
  <c r="F97" i="4"/>
  <c r="F92" i="4"/>
  <c r="F94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H106" i="3"/>
  <c r="D100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<sst xmlns="http://schemas.openxmlformats.org/spreadsheetml/2006/main" count="391" uniqueCount="269">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</sst>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168366700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6181.HK</v>
      </c>
      <c r="D3" s="278"/>
      <c r="E3" s="87"/>
      <c r="F3" s="3" t="s">
        <v>1</v>
      </c>
      <c r="G3" s="132">
        <v>209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老鋪黃金</v>
      </c>
      <c r="D4" s="280"/>
      <c r="E4" s="87"/>
      <c r="F4" s="3" t="s">
        <v>2</v>
      </c>
      <c r="G4" s="283">
        <f>Inputs!C10</f>
        <v>168366700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35188.640299999999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0.58108816177312361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5.7183940942846252E-3</v>
      </c>
      <c r="F24" s="140" t="s">
        <v>260</v>
      </c>
      <c r="G24" s="268">
        <f>G3/(Fin_Analysis!H86*G7)</f>
        <v>78.851956267767235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0.17490983040442024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0.58108816177312361</v>
      </c>
      <c r="D42" s="156">
        <f t="shared" si="34"/>
        <v>0.58110831234256932</v>
      </c>
      <c r="E42" s="156">
        <f t="shared" si="34"/>
        <v>0.58801220620226269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0.23828361372817153</v>
      </c>
      <c r="D43" s="153">
        <f t="shared" si="35"/>
        <v>0.3089266121679467</v>
      </c>
      <c r="E43" s="153">
        <f t="shared" si="35"/>
        <v>0.28464822556960562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5.7183940942846252E-3</v>
      </c>
      <c r="D45" s="153">
        <f t="shared" si="37"/>
        <v>1.311446276521766E-2</v>
      </c>
      <c r="E45" s="153">
        <f t="shared" si="37"/>
        <v>9.2289833252016638E-3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0.17490983040442024</v>
      </c>
      <c r="D48" s="153">
        <f t="shared" si="40"/>
        <v>9.6850612724266358E-2</v>
      </c>
      <c r="E48" s="153">
        <f t="shared" si="40"/>
        <v>0.11811058490293001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3.2693383105242051E-2</v>
      </c>
      <c r="D56" s="153">
        <f t="shared" si="46"/>
        <v>0.13540918736936161</v>
      </c>
      <c r="E56" s="153">
        <f t="shared" si="46"/>
        <v>7.8138494807951098E-2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95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160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1.2681993539946906E-2</v>
      </c>
      <c r="D87" s="209"/>
      <c r="E87" s="262">
        <f>E86*Exchange_Rate/Dashboard!G3</f>
        <v>1.2681993539946906E-2</v>
      </c>
      <c r="F87" s="209"/>
      <c r="H87" s="262">
        <f>H86*Exchange_Rate/Dashboard!G3</f>
        <v>1.2681993539946906E-2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51.093654949687178</v>
      </c>
      <c r="H93" s="87" t="s">
        <v>209</v>
      </c>
      <c r="I93" s="144">
        <f>FV(H87,D93,0,-(H86/(C93-D94)))*Exchange_Rate</f>
        <v>51.093654949687178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4276947.9872989981</v>
      </c>
      <c r="D97" s="213"/>
      <c r="E97" s="123">
        <f>PV(C94,D93,0,-F93)</f>
        <v>25.40257656234278</v>
      </c>
      <c r="F97" s="213"/>
      <c r="H97" s="123">
        <f>PV(C94,D93,0,-I93)</f>
        <v>25.40257656234278</v>
      </c>
      <c r="I97" s="123">
        <f>PV(C93,D93,0,-I93)</f>
        <v>35.548371867198142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4276947.9872989981</v>
      </c>
      <c r="D100" s="109">
        <f>MIN(F100*(1-C94),E100)</f>
        <v>21.592190077991361</v>
      </c>
      <c r="E100" s="109">
        <f>MAX(E97+H98+E99,0)</f>
        <v>25.40257656234278</v>
      </c>
      <c r="F100" s="109">
        <f>(E100+H100)/2</f>
        <v>25.40257656234278</v>
      </c>
      <c r="H100" s="109">
        <f>MAX(C100*Data!$C$4/Common_Shares,0)</f>
        <v>25.40257656234278</v>
      </c>
      <c r="I100" s="109">
        <f>MAX(I97+H98+H99,0)</f>
        <v>35.548371867198142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2138473.993649499</v>
      </c>
      <c r="D106" s="109">
        <f>(D100+D103)/2</f>
        <v>10.796095038995681</v>
      </c>
      <c r="E106" s="123">
        <f>(E100+E103)/2</f>
        <v>12.70128828117139</v>
      </c>
      <c r="F106" s="109">
        <f>(F100+F103)/2</f>
        <v>12.70128828117139</v>
      </c>
      <c r="H106" s="123">
        <f>(H100+H103)/2</f>
        <v>12.70128828117139</v>
      </c>
      <c r="I106" s="123">
        <f>(I100+I103)/2</f>
        <v>17.774185933599071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