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1D4E476-08EA-44A7-AED8-B72CFB040B8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B47" i="4"/>
  <c r="C49" i="3"/>
  <c r="J56" i="2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4" i="4" l="1"/>
  <c r="F96" i="4"/>
  <c r="E92" i="4"/>
  <c r="F97" i="4"/>
  <c r="D56" i="4"/>
  <c r="H56" i="2"/>
  <c r="G56" i="2"/>
  <c r="F56" i="2"/>
  <c r="D27" i="2"/>
  <c r="D56" i="2" s="1"/>
  <c r="M56" i="2"/>
  <c r="E56" i="2"/>
  <c r="L56" i="2"/>
  <c r="K56" i="2"/>
  <c r="I56" i="2"/>
  <c r="K33" i="2"/>
  <c r="C27" i="2"/>
  <c r="C56" i="2" s="1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<sst xmlns="http://schemas.openxmlformats.org/spreadsheetml/2006/main" count="392" uniqueCount="275">
  <si>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</si>
  <si>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</si>
  <si>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</si>
  <si>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</si>
  <si>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</si>
  <si>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</si>
  <si>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</si>
  <si>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</si>
  <si>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</si>
  <si>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</si>
  <si>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</si>
  <si>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</si>
  <si>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</si>
  <si>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</si>
  <si>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</si>
  <si>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</si>
  <si>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</si>
  <si>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</si>
  <si>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</si>
  <si>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</si>
  <si>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</si>
  <si>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</si>
  <si>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</si>
  <si>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</si>
  <si>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</si>
  <si>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</si>
  <si>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</si>
  <si>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</si>
  <si>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</si>
  <si>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</si>
  <si>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</si>
  <si>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</si>
  <si>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</si>
  <si>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</si>
  <si>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</si>
  <si>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</si>
  <si>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</si>
  <si>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</si>
  <si>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</si>
  <si>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</si>
  <si>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</si>
  <si>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</si>
  <si>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</si>
  <si>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</si>
  <si>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</si>
  <si>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</si>
  <si>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</si>
  <si>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</si>
  <si>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</si>
  <si>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</si>
  <si>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</si>
  <si>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</si>
  <si>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</si>
  <si>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</si>
  <si>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</si>
  <si>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</si>
  <si>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</si>
  <si>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</si>
  <si>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</si>
  <si>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</si>
  <si>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</si>
  <si>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</si>
  <si>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</si>
  <si>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</si>
  <si>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</si>
  <si>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</si>
  <si>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</si>
  <si>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</si>
  <si>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</si>
  <si>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</si>
  <si>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</si>
  <si>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</si>
  <si>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</si>
  <si>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</si>
  <si>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</si>
  <si>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</si>
  <si>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</si>
  <si>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</si>
  <si>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</si>
  <si>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</si>
  <si>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</si>
  <si>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</si>
  <si>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</si>
  <si>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</si>
  <si>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</si>
  <si>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</si>
  <si>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</si>
  <si>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</si>
  <si>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</si>
  <si>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</si>
  <si>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</si>
  <si>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</si>
  <si>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</si>
  <si>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</si>
  <si>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</si>
  <si>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</si>
  <si>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</si>
  <si>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</si>
  <si>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</si>
  <si>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</si>
  <si>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</si>
  <si>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</si>
  <si>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</si>
  <si>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</si>
  <si>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</si>
  <si>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</si>
  <si>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</si>
  <si>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</si>
  <si>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</si>
  <si>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</si>
  <si>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</si>
  <si>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</si>
  <si>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</si>
  <si>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</si>
  <si>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</si>
  <si>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</si>
  <si>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</si>
  <si>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</si>
  <si>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</si>
  <si>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</si>
  <si>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</si>
  <si>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</si>
  <si>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</si>
  <si>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</si>
  <si>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</si>
  <si>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</si>
  <si>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</si>
  <si>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</si>
  <si>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</si>
  <si>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</si>
  <si>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</si>
  <si>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</si>
  <si>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</si>
  <si>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</si>
  <si>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</si>
  <si>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</si>
  <si>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</si>
  <si>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</si>
  <si>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</si>
  <si>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</si>
  <si>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</si>
  <si>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</si>
  <si>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</si>
  <si>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</si>
  <si>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</si>
  <si>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</si>
  <si>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</si>
  <si>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</si>
  <si>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</si>
  <si>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</si>
  <si>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</si>
  <si>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</si>
  <si>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</si>
  <si>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</si>
  <si>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</si>
  <si>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</si>
  <si>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</si>
  <si>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</si>
  <si>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</si>
  <si>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</si>
  <si>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</si>
  <si>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</si>
  <si>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</si>
  <si>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</si>
  <si>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</si>
  <si>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</si>
  <si>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</si>
  <si>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</si>
  <si>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</si>
  <si>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</si>
  <si>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</si>
  <si>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</si>
  <si>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</si>
  <si>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</si>
  <si>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</si>
  <si>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</si>
  <si>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</si>
  <si>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</si>
  <si>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</si>
  <si>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</si>
  <si>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</si>
  <si>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</si>
  <si>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</si>
  <si>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</si>
  <si>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</si>
  <si>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</si>
  <si>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</si>
  <si>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</si>
  <si>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</si>
  <si>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</si>
  <si>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</si>
  <si>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</si>
  <si>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</si>
  <si>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</si>
  <si>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</si>
  <si>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</si>
  <si>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</si>
  <si>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</si>
  <si>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</si>
  <si>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</si>
  <si>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</si>
  <si>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</si>
  <si>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</si>
  <si>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</si>
  <si>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</si>
  <si>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</si>
  <si>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</si>
  <si>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</si>
  <si>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</si>
  <si>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</si>
  <si>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</si>
  <si>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</si>
  <si>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</si>
  <si>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</si>
  <si>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</si>
  <si>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</si>
  <si>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</si>
  <si>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</si>
  <si>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</si>
  <si>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</si>
  <si>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</si>
  <si>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</si>
  <si>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</si>
  <si>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</si>
  <si>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</si>
  <si>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</si>
  <si>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</si>
  <si>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</si>
  <si>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</si>
  <si>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</si>
  <si>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</si>
  <si>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</si>
  <si>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</si>
  <si>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</si>
  <si>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</si>
  <si>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</si>
  <si>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</si>
  <si>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</si>
  <si>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</si>
  <si>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</si>
  <si>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</si>
  <si>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</si>
  <si>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</si>
  <si>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</si>
  <si>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</si>
  <si>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</si>
  <si>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</si>
  <si>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</si>
  <si>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</si>
  <si>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</si>
  <si>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</si>
  <si>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</si>
  <si>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</si>
  <si>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</si>
  <si>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</si>
  <si>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</si>
  <si>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</si>
  <si>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</si>
  <si>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</si>
  <si>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</si>
  <si>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</si>
  <si>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</si>
  <si>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</si>
  <si>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</si>
  <si>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</si>
  <si>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</si>
  <si>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</si>
  <si>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0011.HK</t>
  </si>
  <si>
    <t>恒生銀行</t>
  </si>
  <si>
    <t xml:space="preserve">Superior Cycl. </t>
  </si>
  <si>
    <t>C0014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</si>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</sst>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267</v>
      </c>
    </row>
    <row r="5" spans="1:5" ht="13.9" x14ac:dyDescent="0.4">
      <c r="B5" s="139" t="s">
        <v>181</v>
      </c>
      <c r="C5" s="188" t="s">
        <v>268</v>
      </c>
    </row>
    <row r="6" spans="1:5" ht="13.9" x14ac:dyDescent="0.4">
      <c r="B6" s="139" t="s">
        <v>155</v>
      </c>
      <c r="C6" s="186">
        <v>45606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269</v>
      </c>
      <c r="E8" s="262"/>
    </row>
    <row r="9" spans="1:5" ht="13.9" x14ac:dyDescent="0.4">
      <c r="B9" s="138" t="s">
        <v>202</v>
      </c>
      <c r="C9" s="189" t="s">
        <v>270</v>
      </c>
    </row>
    <row r="10" spans="1:5" ht="13.9" x14ac:dyDescent="0.4">
      <c r="B10" s="138" t="s">
        <v>203</v>
      </c>
      <c r="C10" s="190">
        <v>1882267536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235</v>
      </c>
      <c r="C15" s="173" t="s">
        <v>176</v>
      </c>
    </row>
    <row r="16" spans="1:5" ht="13.9" x14ac:dyDescent="0.4">
      <c r="B16" s="217" t="s">
        <v>93</v>
      </c>
      <c r="C16" s="218">
        <v>0.23499999999999999</v>
      </c>
      <c r="D16" s="24"/>
      <c r="E16" s="109" t="s">
        <v>266</v>
      </c>
    </row>
    <row r="17" spans="2:13" ht="13.9" x14ac:dyDescent="0.4">
      <c r="B17" s="235" t="s">
        <v>209</v>
      </c>
      <c r="C17" s="237" t="s">
        <v>271</v>
      </c>
      <c r="D17" s="24"/>
    </row>
    <row r="18" spans="2:13" ht="13.9" x14ac:dyDescent="0.4">
      <c r="B18" s="235" t="s">
        <v>223</v>
      </c>
      <c r="C18" s="237" t="s">
        <v>271</v>
      </c>
      <c r="D18" s="24"/>
    </row>
    <row r="19" spans="2:13" ht="13.9" x14ac:dyDescent="0.4">
      <c r="B19" s="235" t="s">
        <v>224</v>
      </c>
      <c r="C19" s="237" t="s">
        <v>271</v>
      </c>
      <c r="D19" s="24"/>
    </row>
    <row r="20" spans="2:13" ht="13.9" x14ac:dyDescent="0.4">
      <c r="B20" s="236" t="s">
        <v>213</v>
      </c>
      <c r="C20" s="237" t="s">
        <v>271</v>
      </c>
      <c r="D20" s="24"/>
    </row>
    <row r="21" spans="2:13" ht="13.9" x14ac:dyDescent="0.4">
      <c r="B21" s="219" t="s">
        <v>216</v>
      </c>
      <c r="C21" s="237" t="s">
        <v>271</v>
      </c>
      <c r="D21" s="24"/>
    </row>
    <row r="22" spans="2:13" ht="78.75" x14ac:dyDescent="0.4">
      <c r="B22" s="221" t="s">
        <v>215</v>
      </c>
      <c r="C22" s="238" t="s">
        <v>272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>
        <v>69317</v>
      </c>
      <c r="D25" s="147">
        <v>43948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>
        <v>2909</v>
      </c>
      <c r="D26" s="148">
        <v>2280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>
        <v>14624</v>
      </c>
      <c r="D27" s="148">
        <v>13795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236</v>
      </c>
      <c r="C29" s="148">
        <v>27144</v>
      </c>
      <c r="D29" s="148">
        <v>9231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>
        <v>-10</v>
      </c>
      <c r="D30" s="148">
        <v>-14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258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257</v>
      </c>
      <c r="C37" s="148">
        <v>1542086</v>
      </c>
      <c r="D37" s="148">
        <v>1709844</v>
      </c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263</v>
      </c>
      <c r="C38" s="148">
        <v>526844</v>
      </c>
      <c r="D38" s="148">
        <v>544067</v>
      </c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>
        <v>166367</v>
      </c>
      <c r="D41" s="148">
        <v>168184</v>
      </c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>
        <v>47</v>
      </c>
      <c r="D42" s="148">
        <v>53</v>
      </c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f>3.2+1.2*3</f>
        <v>6.8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232</v>
      </c>
      <c r="C45" s="150">
        <f>IF(C44="","",C44*Exchange_Rate/Dashboard!$G$3)</f>
        <v>7.2610784837159631E-2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Sheet- Error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/>
      <c r="D48" s="60">
        <v>0.9</v>
      </c>
      <c r="E48" s="111"/>
    </row>
    <row r="49" spans="2:5" ht="13.9" x14ac:dyDescent="0.4">
      <c r="B49" s="1" t="s">
        <v>130</v>
      </c>
      <c r="C49" s="59"/>
      <c r="D49" s="60">
        <v>0.8</v>
      </c>
      <c r="E49" s="111"/>
    </row>
    <row r="50" spans="2:5" ht="13.9" x14ac:dyDescent="0.4">
      <c r="B50" s="3" t="s">
        <v>112</v>
      </c>
      <c r="C50" s="59"/>
      <c r="D50" s="60">
        <f>D51</f>
        <v>0.6</v>
      </c>
      <c r="E50" s="111"/>
    </row>
    <row r="51" spans="2:5" ht="13.9" x14ac:dyDescent="0.4">
      <c r="B51" s="3" t="s">
        <v>38</v>
      </c>
      <c r="C51" s="59"/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/>
      <c r="D53" s="60">
        <f>D50</f>
        <v>0.6</v>
      </c>
      <c r="E53" s="111"/>
    </row>
    <row r="54" spans="2:5" ht="13.9" x14ac:dyDescent="0.4">
      <c r="B54" s="3" t="s">
        <v>240</v>
      </c>
      <c r="C54" s="59"/>
      <c r="D54" s="60">
        <v>0.1</v>
      </c>
      <c r="E54" s="111"/>
    </row>
    <row r="55" spans="2:5" ht="13.9" x14ac:dyDescent="0.4">
      <c r="B55" s="3" t="s">
        <v>43</v>
      </c>
      <c r="C55" s="59"/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67</v>
      </c>
    </row>
    <row r="57" spans="2:5" ht="13.9" x14ac:dyDescent="0.4">
      <c r="B57" s="3" t="s">
        <v>115</v>
      </c>
      <c r="C57" s="59"/>
      <c r="D57" s="60">
        <v>0.6</v>
      </c>
      <c r="E57" s="216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/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/>
      <c r="D63" s="60">
        <f>D62</f>
        <v>0.5</v>
      </c>
      <c r="E63" s="111"/>
    </row>
    <row r="64" spans="2:5" ht="13.9" x14ac:dyDescent="0.4">
      <c r="B64" s="3" t="s">
        <v>239</v>
      </c>
      <c r="C64" s="59"/>
      <c r="D64" s="60">
        <v>0.4</v>
      </c>
      <c r="E64" s="111"/>
    </row>
    <row r="65" spans="2:5" ht="13.9" x14ac:dyDescent="0.4">
      <c r="B65" s="3" t="s">
        <v>66</v>
      </c>
      <c r="C65" s="59"/>
      <c r="D65" s="60">
        <v>0.1</v>
      </c>
      <c r="E65" s="216" t="s">
        <v>67</v>
      </c>
    </row>
    <row r="66" spans="2:5" ht="13.9" x14ac:dyDescent="0.4">
      <c r="B66" s="3" t="s">
        <v>68</v>
      </c>
      <c r="C66" s="59"/>
      <c r="D66" s="60">
        <v>0.2</v>
      </c>
      <c r="E66" s="216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6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/>
      <c r="D70" s="60">
        <v>0.05</v>
      </c>
      <c r="E70" s="111"/>
    </row>
    <row r="71" spans="2:5" ht="13.9" x14ac:dyDescent="0.4">
      <c r="B71" s="3" t="s">
        <v>71</v>
      </c>
      <c r="C71" s="59"/>
      <c r="D71" s="60">
        <f>D58</f>
        <v>0.9</v>
      </c>
      <c r="E71" s="111"/>
    </row>
    <row r="72" spans="2:5" ht="14.25" thickBot="1" x14ac:dyDescent="0.45">
      <c r="B72" s="241" t="s">
        <v>72</v>
      </c>
      <c r="C72" s="242"/>
      <c r="D72" s="243">
        <v>0</v>
      </c>
      <c r="E72" s="244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/>
    </row>
    <row r="77" spans="2:5" ht="14.25" thickBot="1" x14ac:dyDescent="0.45">
      <c r="B77" s="80" t="s">
        <v>16</v>
      </c>
      <c r="C77" s="82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/>
    </row>
    <row r="82" spans="2:8" ht="14.25" hidden="1" thickBot="1" x14ac:dyDescent="0.45">
      <c r="B82" s="80" t="s">
        <v>261</v>
      </c>
      <c r="C82" s="212"/>
    </row>
    <row r="83" spans="2:8" ht="14.25" hidden="1" thickTop="1" x14ac:dyDescent="0.4">
      <c r="B83" s="73" t="s">
        <v>262</v>
      </c>
      <c r="C83" s="212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273</v>
      </c>
      <c r="D87" s="264">
        <v>0.02</v>
      </c>
    </row>
    <row r="89" spans="2:8" ht="13.5" x14ac:dyDescent="0.35">
      <c r="B89" s="105" t="s">
        <v>122</v>
      </c>
      <c r="C89" s="284">
        <f>C24</f>
        <v>45291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69317</v>
      </c>
      <c r="D91" s="204"/>
      <c r="E91" s="246">
        <f>C91</f>
        <v>69317</v>
      </c>
      <c r="F91" s="246">
        <f>C91</f>
        <v>69317</v>
      </c>
    </row>
    <row r="92" spans="2:8" ht="13.9" x14ac:dyDescent="0.4">
      <c r="B92" s="103" t="s">
        <v>102</v>
      </c>
      <c r="C92" s="77">
        <f>C26</f>
        <v>2909</v>
      </c>
      <c r="D92" s="156">
        <f>C92/C91</f>
        <v>4.1966617135767562E-2</v>
      </c>
      <c r="E92" s="247">
        <f>E91*D92</f>
        <v>2909</v>
      </c>
      <c r="F92" s="247">
        <f>F91*D92</f>
        <v>2909</v>
      </c>
    </row>
    <row r="93" spans="2:8" ht="13.9" x14ac:dyDescent="0.4">
      <c r="B93" s="103" t="s">
        <v>229</v>
      </c>
      <c r="C93" s="77">
        <f>C27+C28</f>
        <v>14624</v>
      </c>
      <c r="D93" s="156">
        <f>C93/C91</f>
        <v>0.2109727772407923</v>
      </c>
      <c r="E93" s="247">
        <f>E91*D93</f>
        <v>14624</v>
      </c>
      <c r="F93" s="247">
        <f>F91*D93</f>
        <v>14624</v>
      </c>
    </row>
    <row r="94" spans="2:8" ht="13.9" x14ac:dyDescent="0.4">
      <c r="B94" s="103" t="s">
        <v>236</v>
      </c>
      <c r="C94" s="77">
        <f>C29</f>
        <v>27144</v>
      </c>
      <c r="D94" s="156">
        <f>C94/C91</f>
        <v>0.39159225009737869</v>
      </c>
      <c r="E94" s="248"/>
      <c r="F94" s="247">
        <f>F91*D94</f>
        <v>27144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193</v>
      </c>
      <c r="C98" s="232">
        <f>C44</f>
        <v>6.8</v>
      </c>
      <c r="D98" s="261"/>
      <c r="E98" s="249">
        <f>F98</f>
        <v>6.8</v>
      </c>
      <c r="F98" s="249">
        <f>C98</f>
        <v>6.8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0011.HK : 恒生銀行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0011.HK</v>
      </c>
      <c r="D3" s="291"/>
      <c r="E3" s="86"/>
      <c r="F3" s="3" t="s">
        <v>1</v>
      </c>
      <c r="G3" s="130">
        <v>93.65</v>
      </c>
      <c r="H3" s="132" t="s">
        <v>274</v>
      </c>
    </row>
    <row r="4" spans="1:10" ht="15.75" customHeight="1" x14ac:dyDescent="0.4">
      <c r="B4" s="35" t="s">
        <v>181</v>
      </c>
      <c r="C4" s="292" t="str">
        <f>Inputs!C5</f>
        <v>恒生銀行</v>
      </c>
      <c r="D4" s="293"/>
      <c r="E4" s="86"/>
      <c r="F4" s="3" t="s">
        <v>3</v>
      </c>
      <c r="G4" s="296">
        <f>Inputs!C10</f>
        <v>1882267536</v>
      </c>
      <c r="H4" s="296"/>
      <c r="I4" s="39"/>
    </row>
    <row r="5" spans="1:10" ht="15.75" customHeight="1" x14ac:dyDescent="0.4">
      <c r="B5" s="3" t="s">
        <v>155</v>
      </c>
      <c r="C5" s="294">
        <f>Inputs!C6</f>
        <v>45606</v>
      </c>
      <c r="D5" s="295"/>
      <c r="E5" s="34"/>
      <c r="F5" s="35" t="s">
        <v>96</v>
      </c>
      <c r="G5" s="288">
        <f>G3*G4/1000000</f>
        <v>176274.35474640003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 xml:space="preserve">Superior Cycl. </v>
      </c>
      <c r="D7" s="184" t="str">
        <f>Inputs!C9</f>
        <v>C0014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233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HK</v>
      </c>
      <c r="F16" s="109" t="s">
        <v>166</v>
      </c>
    </row>
    <row r="17" spans="1:8" ht="15.75" customHeight="1" thickTop="1" x14ac:dyDescent="0.4">
      <c r="B17" s="86" t="s">
        <v>234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256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247</v>
      </c>
      <c r="C20" s="271">
        <f>C21*C22*C23</f>
        <v>0.31135161135161138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252</v>
      </c>
      <c r="C21" s="283">
        <f>Data!C13</f>
        <v>0.74706060562344012</v>
      </c>
      <c r="F21" s="86"/>
      <c r="G21" s="29"/>
    </row>
    <row r="22" spans="1:8" ht="15.75" customHeight="1" x14ac:dyDescent="0.4">
      <c r="B22" s="273" t="s">
        <v>259</v>
      </c>
      <c r="C22" s="274">
        <f>Data!C48</f>
        <v>4.0572962791484458E-2</v>
      </c>
      <c r="F22" s="140" t="s">
        <v>171</v>
      </c>
    </row>
    <row r="23" spans="1:8" ht="15.75" customHeight="1" thickBot="1" x14ac:dyDescent="0.45">
      <c r="B23" s="275" t="s">
        <v>265</v>
      </c>
      <c r="C23" s="282">
        <f>1/Data!C53</f>
        <v>10.272083934583936</v>
      </c>
      <c r="F23" s="138" t="s">
        <v>175</v>
      </c>
      <c r="G23" s="174">
        <f>G3/(Data!C34*Data!C4/Common_Shares*Exchange_Rate)</f>
        <v>1.0595512015387669</v>
      </c>
    </row>
    <row r="24" spans="1:8" ht="15.75" customHeight="1" x14ac:dyDescent="0.4">
      <c r="B24" s="280" t="s">
        <v>253</v>
      </c>
      <c r="C24" s="281">
        <f>Fin_Analysis!I81</f>
        <v>0.39159225009737869</v>
      </c>
      <c r="F24" s="138" t="s">
        <v>238</v>
      </c>
      <c r="G24" s="263">
        <f>G3/(Fin_Analysis!H86*G7)</f>
        <v>9.3516230979118937</v>
      </c>
    </row>
    <row r="25" spans="1:8" ht="15.75" customHeight="1" x14ac:dyDescent="0.4">
      <c r="B25" s="135" t="s">
        <v>254</v>
      </c>
      <c r="C25" s="168">
        <f>Fin_Analysis!I80</f>
        <v>0</v>
      </c>
      <c r="F25" s="138" t="s">
        <v>162</v>
      </c>
      <c r="G25" s="168">
        <f>Fin_Analysis!I88</f>
        <v>0.67902869264069265</v>
      </c>
    </row>
    <row r="26" spans="1:8" ht="15.75" customHeight="1" x14ac:dyDescent="0.4">
      <c r="B26" s="136" t="s">
        <v>255</v>
      </c>
      <c r="C26" s="168">
        <f>Fin_Analysis!I80+Fin_Analysis!I82</f>
        <v>0</v>
      </c>
      <c r="F26" s="139" t="s">
        <v>179</v>
      </c>
      <c r="G26" s="175">
        <f>Fin_Analysis!H88*Exchange_Rate/G3</f>
        <v>7.2610784837159631E-2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237</v>
      </c>
      <c r="H28" s="286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67.297306420973072</v>
      </c>
      <c r="D29" s="127">
        <f>G29*(1+G20)</f>
        <v>124.27699548454808</v>
      </c>
      <c r="E29" s="86"/>
      <c r="F29" s="129">
        <f>IF(Fin_Analysis!C108="Profit",Fin_Analysis!F100,IF(Fin_Analysis!C108="Dividend",Fin_Analysis!F103,Fin_Analysis!F106))</f>
        <v>79.173301671733029</v>
      </c>
      <c r="G29" s="287">
        <f>IF(Fin_Analysis!C108="Profit",Fin_Analysis!I100,IF(Fin_Analysis!C108="Dividend",Fin_Analysis!I103,Fin_Analysis!I106))</f>
        <v>108.06695259525921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agree</v>
      </c>
    </row>
    <row r="34" spans="1:3" ht="15.75" customHeight="1" x14ac:dyDescent="0.4">
      <c r="A34"/>
      <c r="B34" s="19" t="s">
        <v>210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agree</v>
      </c>
    </row>
    <row r="37" spans="1:3" ht="15.75" customHeight="1" x14ac:dyDescent="0.4">
      <c r="A37"/>
      <c r="B37" s="20" t="s">
        <v>224</v>
      </c>
      <c r="C37" s="240" t="str">
        <f>Inputs!C19</f>
        <v>agree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agree</v>
      </c>
    </row>
    <row r="40" spans="1:3" ht="15.75" customHeight="1" x14ac:dyDescent="0.4">
      <c r="A40"/>
      <c r="B40" s="1" t="s">
        <v>216</v>
      </c>
      <c r="C40" s="240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 t="str">
        <f>H14</f>
        <v/>
      </c>
      <c r="G3" s="84">
        <f>C14</f>
        <v>51784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1000000</v>
      </c>
      <c r="D4" s="1" t="str">
        <f>Dashboard!G6</f>
        <v>HKD</v>
      </c>
      <c r="E4" s="144" t="s">
        <v>187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>
        <f>IF(Inputs!C25=""," ",Inputs!C25)</f>
        <v>69317</v>
      </c>
      <c r="D6" s="197">
        <f>IF(Inputs!D25="","",Inputs!D25)</f>
        <v>43948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0.57725038682078811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2909</v>
      </c>
      <c r="D8" s="196">
        <f>IF(Inputs!D26="","",Inputs!D26)</f>
        <v>2280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66408</v>
      </c>
      <c r="D9" s="149">
        <f t="shared" si="2"/>
        <v>41668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14624</v>
      </c>
      <c r="D10" s="196">
        <f>IF(Inputs!D27="","",Inputs!D27)</f>
        <v>13795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>
        <f>IF(Inputs!C30="","",MAX(Inputs!C30,0)/(1-Fin_Analysis!$I$84))</f>
        <v>0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0.74706060562344012</v>
      </c>
      <c r="D13" s="224">
        <f t="shared" si="3"/>
        <v>0.63422681350687171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51784</v>
      </c>
      <c r="D14" s="225">
        <f t="shared" ref="D14:M14" si="4">IF(D6="","",D9-D10-MAX(D11,0)-MAX(D12,0))</f>
        <v>27873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0.85785527212714818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236</v>
      </c>
      <c r="C17" s="196">
        <f>IF(Inputs!C29="","",Inputs!C29)</f>
        <v>27144</v>
      </c>
      <c r="D17" s="196">
        <f>IF(Inputs!D29="","",Inputs!D29)</f>
        <v>9231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24640</v>
      </c>
      <c r="D22" s="158">
        <f t="shared" ref="D22:M22" si="8">IF(D6="","",D14-MAX(D16,0)-MAX(D17,0)-ABS(MAX(D21,0)-MAX(D19,0)))</f>
        <v>18642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0.27193329197743699</v>
      </c>
      <c r="D23" s="151">
        <f t="shared" si="9"/>
        <v>0.32450009101665606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18849.599999999999</v>
      </c>
      <c r="D24" s="77">
        <f>IF(D6="","",D22*(1-Fin_Analysis!$I$84))</f>
        <v>14261.130000000001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>
        <f>IF(D24="","",IF(ABS(C24+D24)=ABS(C24)+ABS(D24),IF(C24&lt;0,-1,1)*(C24-D24)/D24,"Turn"))</f>
        <v>0.3217465937131207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1708453</v>
      </c>
      <c r="D27" s="65">
        <f>IF(D34="","",D34+D30)</f>
        <v>1878028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257</v>
      </c>
      <c r="C30" s="65">
        <f>Inputs!C37</f>
        <v>1542086</v>
      </c>
      <c r="D30" s="196">
        <f>IF(Inputs!D37="","",Inputs!D37)</f>
        <v>1709844</v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166367</v>
      </c>
      <c r="D34" s="196">
        <f>IF(Inputs!D41="","",Inputs!D41)</f>
        <v>168184</v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47</v>
      </c>
      <c r="D35" s="196">
        <f>IF(Inputs!D42="","",Inputs!D42)</f>
        <v>53</v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1708453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>
        <f>IF(C6="","",C14/MAX(C37,0))</f>
        <v>3.0310462154943683E-2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4.1966617135767562E-2</v>
      </c>
      <c r="D40" s="154">
        <f t="shared" si="34"/>
        <v>5.1879493947392372E-2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0.2109727772407923</v>
      </c>
      <c r="D41" s="151">
        <f t="shared" si="35"/>
        <v>0.31389369254573585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0.39159225009737869</v>
      </c>
      <c r="D43" s="151">
        <f t="shared" si="37"/>
        <v>0.21004368799490306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0.35546835552606143</v>
      </c>
      <c r="D46" s="151">
        <f t="shared" si="40"/>
        <v>0.42418312551196868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243</v>
      </c>
      <c r="C47" s="276" t="s">
        <v>260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249</v>
      </c>
      <c r="C48" s="267">
        <f t="shared" ref="C48:M48" si="41">IF(C6="","",C6/C27)</f>
        <v>4.0572962791484458E-2</v>
      </c>
      <c r="D48" s="267">
        <f t="shared" si="41"/>
        <v>2.3401142049000335E-2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250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251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241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245</v>
      </c>
      <c r="C53" s="154">
        <f t="shared" ref="C53:M53" si="45">IF(C34="","",(C34-C35)/C27)</f>
        <v>9.7351229445586149E-2</v>
      </c>
      <c r="D53" s="154">
        <f t="shared" si="45"/>
        <v>8.9525289292811394E-2</v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1.1016233766233767</v>
      </c>
      <c r="D55" s="151">
        <f t="shared" si="47"/>
        <v>0.49517219182491151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264</v>
      </c>
      <c r="C56" s="151">
        <f>IF(C34="","",IF(Inputs!C38=0,0,Inputs!C38/C27))</f>
        <v>0.30837488652014422</v>
      </c>
      <c r="D56" s="151">
        <f>IF(D34="","",IF(Inputs!D38=0,0,Inputs!D38/D27))</f>
        <v>0.28970121851218406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246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247</v>
      </c>
      <c r="C58" s="269">
        <f t="shared" ref="C58:M58" si="49">IF(C14="","",C14/(C34-C35))</f>
        <v>0.31135161135161138</v>
      </c>
      <c r="D58" s="269">
        <f t="shared" si="49"/>
        <v>0.16578144423098656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248</v>
      </c>
      <c r="C59" s="269">
        <f t="shared" ref="C59:M59" si="50">IF(C22="","",C22/(C34-C35))</f>
        <v>0.14814814814814814</v>
      </c>
      <c r="D59" s="269">
        <f t="shared" si="50"/>
        <v>0.11087782740838989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166367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166320</v>
      </c>
      <c r="K3" s="24"/>
    </row>
    <row r="4" spans="1:11" ht="15" customHeight="1" x14ac:dyDescent="0.4">
      <c r="B4" s="3" t="s">
        <v>23</v>
      </c>
      <c r="C4" s="86"/>
      <c r="D4" s="196">
        <f>Inputs!C42</f>
        <v>47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-1542135.7989064723</v>
      </c>
      <c r="E6" s="56">
        <f>1-D6/D3</f>
        <v>10.269481320853728</v>
      </c>
      <c r="F6" s="86"/>
      <c r="G6" s="86"/>
      <c r="H6" s="1" t="s">
        <v>26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35</v>
      </c>
      <c r="I11" s="40">
        <f>Inputs!C73</f>
        <v>0</v>
      </c>
      <c r="J11" s="86"/>
      <c r="K11" s="24"/>
    </row>
    <row r="12" spans="1:11" ht="13.9" x14ac:dyDescent="0.4">
      <c r="B12" s="1" t="s">
        <v>130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36</v>
      </c>
      <c r="I12" s="40">
        <f>Inputs!C74</f>
        <v>0</v>
      </c>
      <c r="J12" s="86"/>
      <c r="K12" s="24"/>
    </row>
    <row r="13" spans="1:11" ht="13.9" x14ac:dyDescent="0.4">
      <c r="B13" s="3" t="s">
        <v>112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0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16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0</v>
      </c>
      <c r="J30" s="86"/>
    </row>
    <row r="31" spans="2:10" ht="15" customHeight="1" x14ac:dyDescent="0.4">
      <c r="B31" s="3" t="s">
        <v>59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60</v>
      </c>
      <c r="I31" s="40">
        <f>Inputs!C79</f>
        <v>0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3.9" x14ac:dyDescent="0.4">
      <c r="B34" s="3" t="s">
        <v>64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74</v>
      </c>
      <c r="I34" s="83">
        <f>SUM(I30:I33)</f>
        <v>0</v>
      </c>
      <c r="J34" s="86"/>
    </row>
    <row r="35" spans="2:10" ht="13.9" x14ac:dyDescent="0.4">
      <c r="B35" s="3" t="s">
        <v>66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1542086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79</v>
      </c>
      <c r="I47" s="63">
        <f>(E44+E45+E24+E25)/$I$49</f>
        <v>0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80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81</v>
      </c>
      <c r="I48" s="277">
        <f>I49-I28</f>
        <v>1542086</v>
      </c>
      <c r="J48" s="8"/>
    </row>
    <row r="49" spans="2:11" ht="15" customHeight="1" thickTop="1" x14ac:dyDescent="0.4">
      <c r="B49" s="3" t="s">
        <v>14</v>
      </c>
      <c r="C49" s="61">
        <f>Inputs!C41+Inputs!C37</f>
        <v>1708453</v>
      </c>
      <c r="D49" s="56">
        <f>E49/C49</f>
        <v>0</v>
      </c>
      <c r="E49" s="87">
        <f>E28+E48</f>
        <v>0</v>
      </c>
      <c r="F49" s="86"/>
      <c r="G49" s="86"/>
      <c r="H49" s="3" t="s">
        <v>82</v>
      </c>
      <c r="I49" s="40">
        <f>Inputs!C37</f>
        <v>1542086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P/B Approach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47</v>
      </c>
      <c r="D53" s="29">
        <f>IF(E53=0, 0,E53/C53)</f>
        <v>1.0595512015387669</v>
      </c>
      <c r="E53" s="87">
        <f>IF(C53=0,0,MAX(C53,C53*Dashboard!G23))</f>
        <v>49.798906472322045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1708453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1542086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166367</v>
      </c>
      <c r="D70" s="29">
        <f t="shared" si="2"/>
        <v>-9.2691819892166123</v>
      </c>
      <c r="E70" s="68">
        <f>E68-E69</f>
        <v>-1542086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45291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>
        <f>Data!C6</f>
        <v>69317</v>
      </c>
      <c r="D74" s="204"/>
      <c r="E74" s="233">
        <f>Inputs!E91</f>
        <v>69317</v>
      </c>
      <c r="F74" s="204"/>
      <c r="H74" s="233">
        <f>Inputs!F91</f>
        <v>69317</v>
      </c>
      <c r="I74" s="204"/>
      <c r="K74" s="24"/>
    </row>
    <row r="75" spans="1:11" ht="15" customHeight="1" x14ac:dyDescent="0.4">
      <c r="B75" s="103" t="s">
        <v>102</v>
      </c>
      <c r="C75" s="77">
        <f>Data!C8</f>
        <v>2909</v>
      </c>
      <c r="D75" s="156">
        <f>C75/$C$74</f>
        <v>4.1966617135767562E-2</v>
      </c>
      <c r="E75" s="233">
        <f>Inputs!E92</f>
        <v>2909</v>
      </c>
      <c r="F75" s="157">
        <f>E75/E74</f>
        <v>4.1966617135767562E-2</v>
      </c>
      <c r="H75" s="233">
        <f>Inputs!F92</f>
        <v>2909</v>
      </c>
      <c r="I75" s="157">
        <f>H75/$H$74</f>
        <v>4.1966617135767562E-2</v>
      </c>
      <c r="K75" s="24"/>
    </row>
    <row r="76" spans="1:11" ht="15" customHeight="1" x14ac:dyDescent="0.4">
      <c r="B76" s="35" t="s">
        <v>92</v>
      </c>
      <c r="C76" s="158">
        <f>C74-C75</f>
        <v>66408</v>
      </c>
      <c r="D76" s="205"/>
      <c r="E76" s="159">
        <f>E74-E75</f>
        <v>66408</v>
      </c>
      <c r="F76" s="205"/>
      <c r="H76" s="159">
        <f>H74-H75</f>
        <v>66408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14624</v>
      </c>
      <c r="D77" s="156">
        <f>C77/$C$74</f>
        <v>0.2109727772407923</v>
      </c>
      <c r="E77" s="233">
        <f>Inputs!E93</f>
        <v>14624</v>
      </c>
      <c r="F77" s="157">
        <f>E77/E74</f>
        <v>0.2109727772407923</v>
      </c>
      <c r="H77" s="233">
        <f>Inputs!F93</f>
        <v>14624</v>
      </c>
      <c r="I77" s="157">
        <f>H77/$H$74</f>
        <v>0.2109727772407923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217</v>
      </c>
      <c r="C79" s="252">
        <f>C76-C77-C78</f>
        <v>51784</v>
      </c>
      <c r="D79" s="253">
        <f>C79/C74</f>
        <v>0.74706060562344012</v>
      </c>
      <c r="E79" s="254">
        <f>E76-E77-E78</f>
        <v>51784</v>
      </c>
      <c r="F79" s="253">
        <f>E79/E74</f>
        <v>0.74706060562344012</v>
      </c>
      <c r="G79" s="255"/>
      <c r="H79" s="254">
        <f>H76-H77-H78</f>
        <v>51784</v>
      </c>
      <c r="I79" s="253">
        <f>H79/H74</f>
        <v>0.74706060562344012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126</v>
      </c>
    </row>
    <row r="81" spans="1:11" ht="15" customHeight="1" x14ac:dyDescent="0.4">
      <c r="B81" s="103" t="s">
        <v>236</v>
      </c>
      <c r="C81" s="77">
        <f>MAX(Data!C17,0)</f>
        <v>27144</v>
      </c>
      <c r="D81" s="156">
        <f>C81/$C$74</f>
        <v>0.39159225009737869</v>
      </c>
      <c r="E81" s="177">
        <f>E74*F81</f>
        <v>27144</v>
      </c>
      <c r="F81" s="157">
        <f>I81</f>
        <v>0.39159225009737869</v>
      </c>
      <c r="H81" s="233">
        <f>Inputs!F94</f>
        <v>27144</v>
      </c>
      <c r="I81" s="157">
        <f>H81/$H$74</f>
        <v>0.39159225009737869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120</v>
      </c>
      <c r="C83" s="160">
        <f>C79-C81-C82-C80</f>
        <v>24640</v>
      </c>
      <c r="D83" s="161">
        <f>C83/$C$74</f>
        <v>0.35546835552606143</v>
      </c>
      <c r="E83" s="162">
        <f>E79-E81-E82-E80</f>
        <v>24640</v>
      </c>
      <c r="F83" s="161">
        <f>E83/E74</f>
        <v>0.35546835552606143</v>
      </c>
      <c r="H83" s="162">
        <f>H79-H81-H82-H80</f>
        <v>24640</v>
      </c>
      <c r="I83" s="161">
        <f>H83/$H$74</f>
        <v>0.35546835552606143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0.23499999999999999</v>
      </c>
      <c r="E84" s="207"/>
      <c r="F84" s="176">
        <f t="shared" ref="F84" si="3">I84</f>
        <v>0.23499999999999999</v>
      </c>
      <c r="H84" s="207"/>
      <c r="I84" s="199">
        <f>Inputs!C16</f>
        <v>0.23499999999999999</v>
      </c>
      <c r="K84" s="24"/>
    </row>
    <row r="85" spans="1:11" ht="15" customHeight="1" x14ac:dyDescent="0.4">
      <c r="B85" s="258" t="s">
        <v>156</v>
      </c>
      <c r="C85" s="252">
        <f>C83*(1-I84)</f>
        <v>18849.599999999999</v>
      </c>
      <c r="D85" s="253">
        <f>C85/$C$74</f>
        <v>0.27193329197743699</v>
      </c>
      <c r="E85" s="259">
        <f>E83*(1-F84)</f>
        <v>18849.599999999999</v>
      </c>
      <c r="F85" s="253">
        <f>E85/E74</f>
        <v>0.27193329197743699</v>
      </c>
      <c r="G85" s="255"/>
      <c r="H85" s="259">
        <f>H83*(1-I84)</f>
        <v>18849.599999999999</v>
      </c>
      <c r="I85" s="253">
        <f>H85/$H$74</f>
        <v>0.27193329197743699</v>
      </c>
      <c r="K85" s="24"/>
    </row>
    <row r="86" spans="1:11" ht="15" customHeight="1" x14ac:dyDescent="0.4">
      <c r="B86" s="86" t="s">
        <v>152</v>
      </c>
      <c r="C86" s="164">
        <f>C85*Data!C4/Common_Shares</f>
        <v>10.014304364010451</v>
      </c>
      <c r="D86" s="204"/>
      <c r="E86" s="165">
        <f>E85*Data!C4/Common_Shares</f>
        <v>10.014304364010451</v>
      </c>
      <c r="F86" s="204"/>
      <c r="H86" s="165">
        <f>H85*Data!C4/Common_Shares</f>
        <v>10.014304364010451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0.10693330874543994</v>
      </c>
      <c r="D87" s="204"/>
      <c r="E87" s="257">
        <f>E86*Exchange_Rate/Dashboard!G3</f>
        <v>0.10693330874543994</v>
      </c>
      <c r="F87" s="204"/>
      <c r="H87" s="257">
        <f>H86*Exchange_Rate/Dashboard!G3</f>
        <v>0.10693330874543994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6.8</v>
      </c>
      <c r="D88" s="163">
        <f>C88/C86</f>
        <v>0.67902869264069265</v>
      </c>
      <c r="E88" s="167">
        <f>Inputs!E98</f>
        <v>6.8</v>
      </c>
      <c r="F88" s="163">
        <f>E88/E86</f>
        <v>0.67902869264069265</v>
      </c>
      <c r="H88" s="167">
        <f>Inputs!F98</f>
        <v>6.8</v>
      </c>
      <c r="I88" s="163">
        <f>H88/H86</f>
        <v>0.67902869264069265</v>
      </c>
      <c r="K88" s="24"/>
    </row>
    <row r="89" spans="1:11" ht="15" customHeight="1" x14ac:dyDescent="0.4">
      <c r="B89" s="86" t="s">
        <v>206</v>
      </c>
      <c r="C89" s="256">
        <f>C88*Exchange_Rate/Dashboard!G3</f>
        <v>7.2610784837159631E-2</v>
      </c>
      <c r="D89" s="204"/>
      <c r="E89" s="256">
        <f>E88*Exchange_Rate/Dashboard!G3</f>
        <v>7.2610784837159631E-2</v>
      </c>
      <c r="F89" s="204"/>
      <c r="H89" s="256">
        <f>H88*Exchange_Rate/Dashboard!G3</f>
        <v>7.2610784837159631E-2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HK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195</v>
      </c>
      <c r="F93" s="142">
        <f>FV(E87,D93,0,-(E86/(C93-D94)))*Exchange_Rate</f>
        <v>274.521469608149</v>
      </c>
      <c r="H93" s="86" t="s">
        <v>195</v>
      </c>
      <c r="I93" s="142">
        <f>FV(H87,D93,0,-(H86/(C93-D94)))*Exchange_Rate</f>
        <v>274.521469608149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159.24578937554594</v>
      </c>
      <c r="H94" s="86" t="s">
        <v>196</v>
      </c>
      <c r="I94" s="142">
        <f>FV(H89,D93,0,-(H88/(C93-D94)))*Exchange_Rate</f>
        <v>159.24578937554594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256902.57970573896</v>
      </c>
      <c r="D97" s="208"/>
      <c r="E97" s="121">
        <f>PV(C94,D93,0,-F93)</f>
        <v>136.48568802906823</v>
      </c>
      <c r="F97" s="208"/>
      <c r="H97" s="121">
        <f>PV(C94,D93,0,-I93)</f>
        <v>136.48568802906823</v>
      </c>
      <c r="I97" s="121">
        <f>PV(C93,D93,0,-I93)</f>
        <v>186.29502707014996</v>
      </c>
      <c r="K97" s="24"/>
    </row>
    <row r="98" spans="2:11" ht="15" customHeight="1" x14ac:dyDescent="0.4">
      <c r="B98" s="28" t="s">
        <v>139</v>
      </c>
      <c r="C98" s="90">
        <f>-E53*Exchange_Rate</f>
        <v>-49.798906472322045</v>
      </c>
      <c r="D98" s="208"/>
      <c r="E98" s="208"/>
      <c r="F98" s="208"/>
      <c r="H98" s="121">
        <f>C98*Data!$C$4/Common_Shares</f>
        <v>-2.6456869451273395E-2</v>
      </c>
      <c r="I98" s="210"/>
      <c r="K98" s="24"/>
    </row>
    <row r="99" spans="2:11" ht="15" customHeight="1" thickBot="1" x14ac:dyDescent="0.45">
      <c r="B99" s="104" t="s">
        <v>140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256852.78079926665</v>
      </c>
      <c r="D100" s="108">
        <f>MIN(F100*(1-C94),E100)</f>
        <v>115.99034648567441</v>
      </c>
      <c r="E100" s="108">
        <f>MAX(E97+H98+E99,0)</f>
        <v>136.45923115961696</v>
      </c>
      <c r="F100" s="108">
        <f>(E100+H100)/2</f>
        <v>136.45923115961696</v>
      </c>
      <c r="H100" s="108">
        <f>MAX(C100*Data!$C$4/Common_Shares,0)</f>
        <v>136.45923115961696</v>
      </c>
      <c r="I100" s="108">
        <f>MAX(I97+H98+H99,0)</f>
        <v>186.26857020069869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149025.33545463759</v>
      </c>
      <c r="D103" s="108">
        <f>MIN(F103*(1-C94),E103)</f>
        <v>67.297306420973072</v>
      </c>
      <c r="E103" s="121">
        <f>PV(C94,D93,0,-F94)</f>
        <v>79.173301671733029</v>
      </c>
      <c r="F103" s="108">
        <f>(E103+H103)/2</f>
        <v>79.173301671733029</v>
      </c>
      <c r="H103" s="121">
        <f>PV(C94,D93,0,-I94)</f>
        <v>79.173301671733029</v>
      </c>
      <c r="I103" s="108">
        <f>PV(C93,D93,0,-I94)</f>
        <v>108.06695259525921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202939.05812695212</v>
      </c>
      <c r="D106" s="108">
        <f>(D100+D103)/2</f>
        <v>91.64382645332374</v>
      </c>
      <c r="E106" s="121">
        <f>(E100+E103)/2</f>
        <v>107.81626641567499</v>
      </c>
      <c r="F106" s="108">
        <f>(F100+F103)/2</f>
        <v>107.81626641567499</v>
      </c>
      <c r="H106" s="121">
        <f>(H100+H103)/2</f>
        <v>107.81626641567499</v>
      </c>
      <c r="I106" s="121">
        <f>(I100+I103)/2</f>
        <v>147.16776139797895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