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2287C6-39D3-4C27-AA92-5D40A9BD29F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C65" i="4"/>
  <c r="B47" i="4" s="1"/>
  <c r="D63" i="4"/>
  <c r="D62" i="4"/>
  <c r="D61" i="4"/>
  <c r="D60" i="4"/>
  <c r="D59" i="4"/>
  <c r="D58" i="4"/>
  <c r="D71" i="4" s="1"/>
  <c r="D55" i="4"/>
  <c r="D53" i="4"/>
  <c r="D50" i="4"/>
  <c r="D56" i="4" s="1"/>
  <c r="D44" i="4"/>
  <c r="C44" i="4"/>
  <c r="D27" i="4"/>
  <c r="C27" i="4"/>
  <c r="C49" i="3"/>
  <c r="E56" i="2"/>
  <c r="F56" i="2"/>
  <c r="J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L56" i="2"/>
  <c r="D56" i="2"/>
  <c r="K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<sst xmlns="http://schemas.openxmlformats.org/spreadsheetml/2006/main" count="392" uniqueCount="275">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</sst>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45625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2897780274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45473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3" t="s">
        <v>12</v>
      </c>
      <c r="C25" s="147">
        <v>71506</v>
      </c>
      <c r="D25" s="147">
        <v>71195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39292</v>
      </c>
      <c r="D26" s="148">
        <v>36737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3906+3322</f>
        <v>7228</v>
      </c>
      <c r="D27" s="148">
        <f>4179+3145</f>
        <v>7324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4046</v>
      </c>
      <c r="D29" s="148">
        <v>3053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559</v>
      </c>
      <c r="D30" s="148">
        <v>668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-2259</v>
      </c>
      <c r="D31" s="148">
        <v>-1565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4805</v>
      </c>
      <c r="D32" s="148">
        <v>4765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4396</v>
      </c>
      <c r="D33" s="148">
        <v>4262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207023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611071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4354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0.95+2.8</f>
        <v>3.75</v>
      </c>
      <c r="D44" s="245">
        <f>3.7+1.25</f>
        <v>4.95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5.08130081300813E-2</v>
      </c>
      <c r="D45" s="150">
        <f>IF(D44="","",D44*Exchange_Rate/Dashboard!$G$3)</f>
        <v>6.7073170731707321E-2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16221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17115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>
        <v>748</v>
      </c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>
        <v>502</v>
      </c>
      <c r="D55" s="60">
        <f>D52</f>
        <v>0.5</v>
      </c>
      <c r="E55" s="111"/>
    </row>
    <row r="56" spans="2:5" ht="13.9" x14ac:dyDescent="0.4">
      <c r="B56" s="1" t="s">
        <v>44</v>
      </c>
      <c r="C56" s="59">
        <v>214077</v>
      </c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>
        <v>1681</v>
      </c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f>7954+93101</f>
        <v>101055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408424</v>
      </c>
      <c r="D66" s="60">
        <v>0.2</v>
      </c>
      <c r="E66" s="216" t="s">
        <v>42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50190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4338</v>
      </c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3743</v>
      </c>
      <c r="D72" s="243">
        <v>0</v>
      </c>
      <c r="E72" s="244"/>
    </row>
    <row r="73" spans="2:5" ht="13.9" x14ac:dyDescent="0.4">
      <c r="B73" s="3" t="s">
        <v>35</v>
      </c>
      <c r="C73" s="59">
        <v>10498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62012</v>
      </c>
    </row>
    <row r="78" spans="2:5" ht="14.25" thickTop="1" x14ac:dyDescent="0.4">
      <c r="B78" s="3" t="s">
        <v>58</v>
      </c>
      <c r="C78" s="59">
        <v>116589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>
        <v>145011</v>
      </c>
    </row>
    <row r="83" spans="2:8" ht="14.25" hidden="1" thickTop="1" x14ac:dyDescent="0.4">
      <c r="B83" s="73" t="s">
        <v>264</v>
      </c>
      <c r="C83" s="212">
        <v>606717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45473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71506</v>
      </c>
      <c r="D91" s="204"/>
      <c r="E91" s="246">
        <f>C91</f>
        <v>71506</v>
      </c>
      <c r="F91" s="246">
        <f>C91</f>
        <v>71506</v>
      </c>
    </row>
    <row r="92" spans="2:8" ht="13.9" x14ac:dyDescent="0.4">
      <c r="B92" s="103" t="s">
        <v>102</v>
      </c>
      <c r="C92" s="77">
        <f>C26</f>
        <v>39292</v>
      </c>
      <c r="D92" s="156">
        <f>C92/C91</f>
        <v>0.54949235029228316</v>
      </c>
      <c r="E92" s="247">
        <f>E91*D92</f>
        <v>39292</v>
      </c>
      <c r="F92" s="247">
        <f>F91*D92</f>
        <v>39292</v>
      </c>
    </row>
    <row r="93" spans="2:8" ht="13.9" x14ac:dyDescent="0.4">
      <c r="B93" s="103" t="s">
        <v>230</v>
      </c>
      <c r="C93" s="77">
        <f>C27+C28</f>
        <v>7228</v>
      </c>
      <c r="D93" s="156">
        <f>C93/C91</f>
        <v>0.10108242664951193</v>
      </c>
      <c r="E93" s="247">
        <f>E91*D93</f>
        <v>7228</v>
      </c>
      <c r="F93" s="247">
        <f>F91*D93</f>
        <v>7228</v>
      </c>
    </row>
    <row r="94" spans="2:8" ht="13.9" x14ac:dyDescent="0.4">
      <c r="B94" s="103" t="s">
        <v>238</v>
      </c>
      <c r="C94" s="77">
        <f>C29</f>
        <v>4046</v>
      </c>
      <c r="D94" s="156">
        <f>C94/C91</f>
        <v>5.6582664391799292E-2</v>
      </c>
      <c r="E94" s="248"/>
      <c r="F94" s="247">
        <f>F91*D94</f>
        <v>4046</v>
      </c>
    </row>
    <row r="95" spans="2:8" ht="13.9" x14ac:dyDescent="0.4">
      <c r="B95" s="28" t="s">
        <v>229</v>
      </c>
      <c r="C95" s="77">
        <f>ABS(MAX(C33,0)-C32)</f>
        <v>409</v>
      </c>
      <c r="D95" s="156">
        <f>C95/C91</f>
        <v>5.719799737085E-3</v>
      </c>
      <c r="E95" s="247">
        <f>E91*D95</f>
        <v>409</v>
      </c>
      <c r="F95" s="247">
        <f>F91*D95</f>
        <v>409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730.718954248366</v>
      </c>
      <c r="D97" s="156">
        <f>C97/C91</f>
        <v>1.0218987976510586E-2</v>
      </c>
      <c r="E97" s="248"/>
      <c r="F97" s="247">
        <f>F91*D97</f>
        <v>730.718954248366</v>
      </c>
    </row>
    <row r="98" spans="2:7" ht="13.9" x14ac:dyDescent="0.4">
      <c r="B98" s="85" t="s">
        <v>193</v>
      </c>
      <c r="C98" s="232">
        <f>C44</f>
        <v>3.75</v>
      </c>
      <c r="D98" s="261"/>
      <c r="E98" s="249">
        <f>F98</f>
        <v>3.75</v>
      </c>
      <c r="F98" s="249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0016.HK</v>
      </c>
      <c r="D3" s="291"/>
      <c r="E3" s="86"/>
      <c r="F3" s="3" t="s">
        <v>1</v>
      </c>
      <c r="G3" s="130">
        <v>73.8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新鴻基地產</v>
      </c>
      <c r="D4" s="293"/>
      <c r="E4" s="86"/>
      <c r="F4" s="3" t="s">
        <v>3</v>
      </c>
      <c r="G4" s="296">
        <f>Inputs!C10</f>
        <v>2897780274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45625</v>
      </c>
      <c r="D5" s="295"/>
      <c r="E5" s="34"/>
      <c r="F5" s="35" t="s">
        <v>96</v>
      </c>
      <c r="G5" s="288">
        <f>G3*G4/1000000</f>
        <v>213856.18422119998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3.9977915643952019E-2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0.33920623508169434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8.7405603757025482E-2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1.3483947210973155</v>
      </c>
      <c r="F23" s="138" t="s">
        <v>175</v>
      </c>
      <c r="G23" s="174">
        <f>G3/(Data!C34*Data!C4/Common_Shares*Exchange_Rate)</f>
        <v>0.34996945399339846</v>
      </c>
    </row>
    <row r="24" spans="1:8" ht="15.75" customHeight="1" x14ac:dyDescent="0.4">
      <c r="B24" s="280" t="s">
        <v>255</v>
      </c>
      <c r="C24" s="281">
        <f>Fin_Analysis!I81</f>
        <v>5.6582664391799292E-2</v>
      </c>
      <c r="F24" s="138" t="s">
        <v>240</v>
      </c>
      <c r="G24" s="263">
        <f>G3/(Fin_Analysis!H86*G7)</f>
        <v>14.118515134379487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0.71740422430790074</v>
      </c>
    </row>
    <row r="26" spans="1:8" ht="15.75" customHeight="1" x14ac:dyDescent="0.4">
      <c r="B26" s="136" t="s">
        <v>257</v>
      </c>
      <c r="C26" s="168">
        <f>Fin_Analysis!I80+Fin_Analysis!I82</f>
        <v>5.719799737085E-3</v>
      </c>
      <c r="F26" s="139" t="s">
        <v>179</v>
      </c>
      <c r="G26" s="175">
        <f>Fin_Analysis!H88*Exchange_Rate/G3</f>
        <v>5.08130081300813E-2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18.125128502059777</v>
      </c>
      <c r="D29" s="127">
        <f>G29*(1+G20)</f>
        <v>52.864190740942909</v>
      </c>
      <c r="E29" s="86"/>
      <c r="F29" s="129">
        <f>IF(Fin_Analysis!C108="Profit",Fin_Analysis!F100,IF(Fin_Analysis!C108="Dividend",Fin_Analysis!F103,Fin_Analysis!F106))</f>
        <v>21.323680590658562</v>
      </c>
      <c r="G29" s="287">
        <f>IF(Fin_Analysis!C108="Profit",Fin_Analysis!I100,IF(Fin_Analysis!C108="Dividend",Fin_Analysis!I103,Fin_Analysis!I106))</f>
        <v>45.968861513863402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disagree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45473</v>
      </c>
      <c r="E3" s="144" t="s">
        <v>186</v>
      </c>
      <c r="F3" s="84" t="str">
        <f>H14</f>
        <v/>
      </c>
      <c r="G3" s="84">
        <f>C14</f>
        <v>24255.281045751635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3" t="s">
        <v>12</v>
      </c>
      <c r="C6" s="197">
        <f>IF(Inputs!C25=""," ",Inputs!C25)</f>
        <v>71506</v>
      </c>
      <c r="D6" s="197">
        <f>IF(Inputs!D25="","",Inputs!D25)</f>
        <v>71195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4.3682842896271001E-3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39292</v>
      </c>
      <c r="D8" s="196">
        <f>IF(Inputs!D26="","",Inputs!D26)</f>
        <v>36737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32214</v>
      </c>
      <c r="D9" s="149">
        <f t="shared" si="2"/>
        <v>34458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7228</v>
      </c>
      <c r="D10" s="196">
        <f>IF(Inputs!D27="","",Inputs!D27)</f>
        <v>7324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730.718954248366</v>
      </c>
      <c r="D12" s="196">
        <f>IF(Inputs!D30="","",MAX(Inputs!D30,0)/(1-Fin_Analysis!$I$84))</f>
        <v>873.20261437908493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0.33920623508169434</v>
      </c>
      <c r="D13" s="224">
        <f t="shared" si="3"/>
        <v>0.36885732685751688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24255.281045751635</v>
      </c>
      <c r="D14" s="225">
        <f t="shared" ref="D14:M14" si="4">IF(D6="","",D9-D10-MAX(D11,0)-MAX(D12,0))</f>
        <v>26260.797385620914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-7.6369209602424257E-2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-2259</v>
      </c>
      <c r="D16" s="196">
        <f>IF(Inputs!D31="","",Inputs!D31)</f>
        <v>-1565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4046</v>
      </c>
      <c r="D17" s="196">
        <f>IF(Inputs!D29="","",Inputs!D29)</f>
        <v>3053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6.7197158280424024E-2</v>
      </c>
      <c r="D18" s="150">
        <f t="shared" si="6"/>
        <v>6.6928857363578897E-2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4805</v>
      </c>
      <c r="D19" s="196">
        <f>IF(Inputs!D32="","",Inputs!D32)</f>
        <v>4765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6.1477358543339022E-2</v>
      </c>
      <c r="D20" s="150">
        <f t="shared" si="7"/>
        <v>5.9863754477140249E-2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4396</v>
      </c>
      <c r="D21" s="196">
        <f>IF(Inputs!D33="","",Inputs!D33)</f>
        <v>4262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19800.281045751635</v>
      </c>
      <c r="D22" s="158">
        <f t="shared" ref="D22:M22" si="8">IF(D6="","",D14-MAX(D16,0)-MAX(D17,0)-ABS(MAX(D21,0)-MAX(D19,0)))</f>
        <v>22704.797385620914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0.21183138477889971</v>
      </c>
      <c r="D23" s="151">
        <f t="shared" si="9"/>
        <v>0.2439661493082379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-0.12792522613343046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818094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17115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502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207023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10498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116589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127087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611071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4354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698389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3.4730330869689581E-2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0.54949235029228316</v>
      </c>
      <c r="D40" s="154">
        <f t="shared" si="34"/>
        <v>0.51600533745347288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0.27690377095281005</v>
      </c>
      <c r="D46" s="151">
        <f t="shared" si="40"/>
        <v>0.31890999909573586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8.7405603757025482E-2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0.74162260082582199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0.15580099495425681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3.9977915643952013E-2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3.2635118260657993E-2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611071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606717</v>
      </c>
      <c r="K3" s="24"/>
    </row>
    <row r="4" spans="1:11" ht="15" customHeight="1" x14ac:dyDescent="0.4">
      <c r="B4" s="3" t="s">
        <v>23</v>
      </c>
      <c r="C4" s="86"/>
      <c r="D4" s="196">
        <f>Inputs!C42</f>
        <v>4354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40428.799999999988</v>
      </c>
      <c r="E6" s="56">
        <f>1-D6/D3</f>
        <v>0.93383943927956004</v>
      </c>
      <c r="F6" s="86"/>
      <c r="G6" s="86"/>
      <c r="H6" s="1" t="s">
        <v>26</v>
      </c>
      <c r="I6" s="63">
        <f>(C24+C25)/I28</f>
        <v>0.54963555440882406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13.951644423403231</v>
      </c>
      <c r="E7" s="11" t="str">
        <f>Dashboard!H3</f>
        <v>HKD</v>
      </c>
      <c r="H7" s="1" t="s">
        <v>27</v>
      </c>
      <c r="I7" s="63">
        <f>C24/I28</f>
        <v>0.53757337289556861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16221</v>
      </c>
      <c r="D11" s="195">
        <f>Inputs!D48</f>
        <v>0.9</v>
      </c>
      <c r="E11" s="87">
        <f t="shared" ref="E11:E22" si="0">C11*D11</f>
        <v>14598.9</v>
      </c>
      <c r="F11" s="111"/>
      <c r="G11" s="86"/>
      <c r="H11" s="3" t="s">
        <v>35</v>
      </c>
      <c r="I11" s="40">
        <f>Inputs!C73</f>
        <v>10498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17115</v>
      </c>
      <c r="D13" s="195">
        <f>Inputs!D50</f>
        <v>0.6</v>
      </c>
      <c r="E13" s="87">
        <f t="shared" si="0"/>
        <v>10269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748</v>
      </c>
      <c r="D15" s="195">
        <f>Inputs!D52</f>
        <v>0.5</v>
      </c>
      <c r="E15" s="87">
        <f t="shared" si="0"/>
        <v>374</v>
      </c>
      <c r="F15" s="111"/>
      <c r="G15" s="86"/>
      <c r="H15" s="1" t="s">
        <v>50</v>
      </c>
      <c r="I15" s="83">
        <f>SUM(I11:I14)</f>
        <v>10498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502</v>
      </c>
      <c r="D18" s="195">
        <f>Inputs!D55</f>
        <v>0.5</v>
      </c>
      <c r="E18" s="87">
        <f t="shared" si="0"/>
        <v>251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214077</v>
      </c>
      <c r="D19" s="195">
        <f>Inputs!D56</f>
        <v>0.6</v>
      </c>
      <c r="E19" s="87">
        <f t="shared" si="0"/>
        <v>128446.2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51514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33336</v>
      </c>
      <c r="D24" s="62">
        <f>IF(E24=0,0,E24/C24)</f>
        <v>0.74597732181425491</v>
      </c>
      <c r="E24" s="87">
        <f>SUM(E11:E14)</f>
        <v>24867.9</v>
      </c>
      <c r="F24" s="112">
        <f>E24/$E$28</f>
        <v>0.16154375334141879</v>
      </c>
      <c r="G24" s="86"/>
    </row>
    <row r="25" spans="2:10" ht="15" customHeight="1" x14ac:dyDescent="0.4">
      <c r="B25" s="23" t="s">
        <v>51</v>
      </c>
      <c r="C25" s="61">
        <f>SUM(C15:C17)</f>
        <v>748</v>
      </c>
      <c r="D25" s="62">
        <f>IF(E25=0,0,E25/C25)</f>
        <v>0.5</v>
      </c>
      <c r="E25" s="87">
        <f>SUM(E15:E17)</f>
        <v>374</v>
      </c>
      <c r="F25" s="112">
        <f>E25/$E$28</f>
        <v>2.4295321981225044E-3</v>
      </c>
      <c r="G25" s="86"/>
      <c r="H25" s="23" t="s">
        <v>52</v>
      </c>
      <c r="I25" s="63">
        <f>E28/I28</f>
        <v>2.4824082435657617</v>
      </c>
    </row>
    <row r="26" spans="2:10" ht="15" customHeight="1" x14ac:dyDescent="0.4">
      <c r="B26" s="23" t="s">
        <v>53</v>
      </c>
      <c r="C26" s="61">
        <f>C18+C19+C20</f>
        <v>214579</v>
      </c>
      <c r="D26" s="62">
        <f>IF(E26=0,0,E26/C26)</f>
        <v>0.59976605352807122</v>
      </c>
      <c r="E26" s="87">
        <f>E18+E19+E20</f>
        <v>128697.2</v>
      </c>
      <c r="F26" s="112">
        <f>E26/$E$28</f>
        <v>0.83602671446045862</v>
      </c>
      <c r="G26" s="86"/>
      <c r="H26" s="23" t="s">
        <v>54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56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1"/>
      <c r="G28" s="86"/>
      <c r="H28" s="78" t="s">
        <v>16</v>
      </c>
      <c r="I28" s="202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116589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1681</v>
      </c>
      <c r="D32" s="195">
        <f>Inputs!D62</f>
        <v>0.5</v>
      </c>
      <c r="E32" s="87">
        <f t="shared" si="1"/>
        <v>840.5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116589</v>
      </c>
      <c r="J34" s="86"/>
    </row>
    <row r="35" spans="2:10" ht="13.9" x14ac:dyDescent="0.4">
      <c r="B35" s="3" t="s">
        <v>66</v>
      </c>
      <c r="C35" s="40">
        <f>Inputs!C65</f>
        <v>101055</v>
      </c>
      <c r="D35" s="195">
        <f>Inputs!D65</f>
        <v>0.1</v>
      </c>
      <c r="E35" s="87">
        <f t="shared" si="1"/>
        <v>10105.5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408424</v>
      </c>
      <c r="D36" s="195">
        <f>Inputs!D66</f>
        <v>0.2</v>
      </c>
      <c r="E36" s="87">
        <f t="shared" si="1"/>
        <v>81684.800000000003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50190</v>
      </c>
      <c r="D38" s="195">
        <f>Inputs!D68</f>
        <v>0.1</v>
      </c>
      <c r="E38" s="87">
        <f t="shared" si="1"/>
        <v>5019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4338</v>
      </c>
      <c r="D40" s="195">
        <f>Inputs!D70</f>
        <v>0.05</v>
      </c>
      <c r="E40" s="87">
        <f t="shared" si="1"/>
        <v>216.9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3743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28422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102736</v>
      </c>
      <c r="D45" s="62">
        <f>IF(E45=0,0,E45/C45)</f>
        <v>0.10654493069615324</v>
      </c>
      <c r="E45" s="87">
        <f>SUM(E32:E35)</f>
        <v>10946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458614</v>
      </c>
      <c r="D46" s="62">
        <f>IF(E46=0,0,E46/C46)</f>
        <v>0.18905615615746577</v>
      </c>
      <c r="E46" s="87">
        <f>E36+E37+E38+E39</f>
        <v>86703.8</v>
      </c>
      <c r="F46" s="86"/>
      <c r="G46" s="86"/>
      <c r="H46" s="23" t="s">
        <v>77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8081</v>
      </c>
      <c r="D47" s="62">
        <f>IF(E47=0,0,E47/C47)</f>
        <v>2.6840737532483606E-2</v>
      </c>
      <c r="E47" s="87">
        <f>E40+E41+E42</f>
        <v>216.9</v>
      </c>
      <c r="F47" s="86"/>
      <c r="G47" s="86"/>
      <c r="H47" s="23" t="s">
        <v>79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569431</v>
      </c>
      <c r="D48" s="81">
        <f>E48/C48</f>
        <v>0.17186753092121784</v>
      </c>
      <c r="E48" s="76">
        <f>SUM(E30:E42)</f>
        <v>97866.7</v>
      </c>
      <c r="F48" s="86"/>
      <c r="G48" s="86"/>
      <c r="H48" s="80" t="s">
        <v>81</v>
      </c>
      <c r="I48" s="277">
        <f>I49-I28</f>
        <v>145011</v>
      </c>
      <c r="J48" s="8"/>
    </row>
    <row r="49" spans="2:11" ht="15" customHeight="1" thickTop="1" x14ac:dyDescent="0.4">
      <c r="B49" s="3" t="s">
        <v>14</v>
      </c>
      <c r="C49" s="61">
        <f>Inputs!C41+Inputs!C37</f>
        <v>818094</v>
      </c>
      <c r="D49" s="56">
        <f>E49/C49</f>
        <v>0.30779568118089118</v>
      </c>
      <c r="E49" s="87">
        <f>E28+E48</f>
        <v>251805.8</v>
      </c>
      <c r="F49" s="86"/>
      <c r="G49" s="86"/>
      <c r="H49" s="3" t="s">
        <v>82</v>
      </c>
      <c r="I49" s="40">
        <f>Inputs!C37</f>
        <v>207023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4354</v>
      </c>
      <c r="D53" s="29">
        <f>IF(E53=0, 0,E53/C53)</f>
        <v>1</v>
      </c>
      <c r="E53" s="87">
        <f>IF(C53=0,0,MAX(C53,C53*Dashboard!G23))</f>
        <v>4354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127087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16221</v>
      </c>
      <c r="D62" s="106">
        <f t="shared" si="2"/>
        <v>0.9</v>
      </c>
      <c r="E62" s="116">
        <f>E11+E30</f>
        <v>14598.9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127087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79936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45473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71506</v>
      </c>
      <c r="D74" s="204"/>
      <c r="E74" s="233">
        <f>Inputs!E91</f>
        <v>71506</v>
      </c>
      <c r="F74" s="204"/>
      <c r="H74" s="233">
        <f>Inputs!F91</f>
        <v>71506</v>
      </c>
      <c r="I74" s="204"/>
      <c r="K74" s="24"/>
    </row>
    <row r="75" spans="1:11" ht="15" customHeight="1" x14ac:dyDescent="0.4">
      <c r="B75" s="103" t="s">
        <v>102</v>
      </c>
      <c r="C75" s="77">
        <f>Data!C8</f>
        <v>39292</v>
      </c>
      <c r="D75" s="156">
        <f>C75/$C$74</f>
        <v>0.54949235029228316</v>
      </c>
      <c r="E75" s="233">
        <f>Inputs!E92</f>
        <v>39292</v>
      </c>
      <c r="F75" s="157">
        <f>E75/E74</f>
        <v>0.54949235029228316</v>
      </c>
      <c r="H75" s="233">
        <f>Inputs!F92</f>
        <v>39292</v>
      </c>
      <c r="I75" s="157">
        <f>H75/$H$74</f>
        <v>0.54949235029228316</v>
      </c>
      <c r="K75" s="24"/>
    </row>
    <row r="76" spans="1:11" ht="15" customHeight="1" x14ac:dyDescent="0.4">
      <c r="B76" s="35" t="s">
        <v>92</v>
      </c>
      <c r="C76" s="158">
        <f>C74-C75</f>
        <v>32214</v>
      </c>
      <c r="D76" s="205"/>
      <c r="E76" s="159">
        <f>E74-E75</f>
        <v>32214</v>
      </c>
      <c r="F76" s="205"/>
      <c r="H76" s="159">
        <f>H74-H75</f>
        <v>32214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7228</v>
      </c>
      <c r="D77" s="156">
        <f>C77/$C$74</f>
        <v>0.10108242664951193</v>
      </c>
      <c r="E77" s="233">
        <f>Inputs!E93</f>
        <v>7228</v>
      </c>
      <c r="F77" s="157">
        <f>E77/E74</f>
        <v>0.10108242664951193</v>
      </c>
      <c r="H77" s="233">
        <f>Inputs!F93</f>
        <v>7228</v>
      </c>
      <c r="I77" s="157">
        <f>H77/$H$74</f>
        <v>0.10108242664951193</v>
      </c>
      <c r="K77" s="24"/>
    </row>
    <row r="78" spans="1:11" ht="15" customHeight="1" x14ac:dyDescent="0.4">
      <c r="B78" s="73" t="s">
        <v>161</v>
      </c>
      <c r="C78" s="77">
        <f>MAX(Data!C12,0)</f>
        <v>730.718954248366</v>
      </c>
      <c r="D78" s="156">
        <f>C78/$C$74</f>
        <v>1.0218987976510586E-2</v>
      </c>
      <c r="E78" s="177">
        <f>E74*F78</f>
        <v>730.718954248366</v>
      </c>
      <c r="F78" s="157">
        <f>I78</f>
        <v>1.0218987976510586E-2</v>
      </c>
      <c r="H78" s="233">
        <f>Inputs!F97</f>
        <v>730.718954248366</v>
      </c>
      <c r="I78" s="157">
        <f>H78/$H$74</f>
        <v>1.0218987976510586E-2</v>
      </c>
      <c r="K78" s="24"/>
    </row>
    <row r="79" spans="1:11" ht="15" customHeight="1" x14ac:dyDescent="0.4">
      <c r="B79" s="251" t="s">
        <v>217</v>
      </c>
      <c r="C79" s="252">
        <f>C76-C77-C78</f>
        <v>24255.281045751635</v>
      </c>
      <c r="D79" s="253">
        <f>C79/C74</f>
        <v>0.33920623508169434</v>
      </c>
      <c r="E79" s="254">
        <f>E76-E77-E78</f>
        <v>24255.281045751635</v>
      </c>
      <c r="F79" s="253">
        <f>E79/E74</f>
        <v>0.33920623508169434</v>
      </c>
      <c r="G79" s="255"/>
      <c r="H79" s="254">
        <f>H76-H77-H78</f>
        <v>24255.281045751635</v>
      </c>
      <c r="I79" s="253">
        <f>H79/H74</f>
        <v>0.33920623508169434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4046</v>
      </c>
      <c r="D81" s="156">
        <f>C81/$C$74</f>
        <v>5.6582664391799292E-2</v>
      </c>
      <c r="E81" s="177">
        <f>E74*F81</f>
        <v>4046</v>
      </c>
      <c r="F81" s="157">
        <f>I81</f>
        <v>5.6582664391799292E-2</v>
      </c>
      <c r="H81" s="233">
        <f>Inputs!F94</f>
        <v>4046</v>
      </c>
      <c r="I81" s="157">
        <f>H81/$H$74</f>
        <v>5.6582664391799292E-2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409</v>
      </c>
      <c r="D82" s="156">
        <f>C82/$C$74</f>
        <v>5.719799737085E-3</v>
      </c>
      <c r="E82" s="233">
        <f>Inputs!E95</f>
        <v>409</v>
      </c>
      <c r="F82" s="157">
        <f>E82/E74</f>
        <v>5.719799737085E-3</v>
      </c>
      <c r="H82" s="233">
        <f>Inputs!F95</f>
        <v>409</v>
      </c>
      <c r="I82" s="157">
        <f>H82/$H$74</f>
        <v>5.719799737085E-3</v>
      </c>
      <c r="K82" s="24"/>
    </row>
    <row r="83" spans="1:11" ht="15" customHeight="1" thickBot="1" x14ac:dyDescent="0.45">
      <c r="B83" s="104" t="s">
        <v>120</v>
      </c>
      <c r="C83" s="160">
        <f>C79-C81-C82-C80</f>
        <v>19800.281045751635</v>
      </c>
      <c r="D83" s="161">
        <f>C83/$C$74</f>
        <v>0.27690377095281005</v>
      </c>
      <c r="E83" s="162">
        <f>E79-E81-E82-E80</f>
        <v>19800.281045751635</v>
      </c>
      <c r="F83" s="161">
        <f>E83/E74</f>
        <v>0.27690377095281005</v>
      </c>
      <c r="H83" s="162">
        <f>H79-H81-H82-H80</f>
        <v>19800.281045751635</v>
      </c>
      <c r="I83" s="161">
        <f>H83/$H$74</f>
        <v>0.27690377095281005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15147.215000000002</v>
      </c>
      <c r="D85" s="253">
        <f>C85/$C$74</f>
        <v>0.21183138477889971</v>
      </c>
      <c r="E85" s="259">
        <f>E83*(1-F84)</f>
        <v>15147.215000000002</v>
      </c>
      <c r="F85" s="253">
        <f>E85/E74</f>
        <v>0.21183138477889971</v>
      </c>
      <c r="G85" s="255"/>
      <c r="H85" s="259">
        <f>H83*(1-I84)</f>
        <v>15147.215000000002</v>
      </c>
      <c r="I85" s="253">
        <f>H85/$H$74</f>
        <v>0.21183138477889971</v>
      </c>
      <c r="K85" s="24"/>
    </row>
    <row r="86" spans="1:11" ht="15" customHeight="1" x14ac:dyDescent="0.4">
      <c r="B86" s="86" t="s">
        <v>152</v>
      </c>
      <c r="C86" s="164">
        <f>C85*Data!C4/Common_Shares</f>
        <v>5.2271785876612675</v>
      </c>
      <c r="D86" s="204"/>
      <c r="E86" s="165">
        <f>E85*Data!C4/Common_Shares</f>
        <v>5.2271785876612675</v>
      </c>
      <c r="F86" s="204"/>
      <c r="H86" s="165">
        <f>H85*Data!C4/Common_Shares</f>
        <v>5.2271785876612675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7.0828978152591704E-2</v>
      </c>
      <c r="D87" s="204"/>
      <c r="E87" s="257">
        <f>E86*Exchange_Rate/Dashboard!G3</f>
        <v>7.0828978152591704E-2</v>
      </c>
      <c r="F87" s="204"/>
      <c r="H87" s="257">
        <f>H86*Exchange_Rate/Dashboard!G3</f>
        <v>7.0828978152591704E-2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3.75</v>
      </c>
      <c r="D88" s="163">
        <f>C88/C86</f>
        <v>0.71740422430790074</v>
      </c>
      <c r="E88" s="167">
        <f>Inputs!E98</f>
        <v>3.75</v>
      </c>
      <c r="F88" s="163">
        <f>E88/E86</f>
        <v>0.71740422430790074</v>
      </c>
      <c r="H88" s="167">
        <f>Inputs!F98</f>
        <v>3.75</v>
      </c>
      <c r="I88" s="163">
        <f>H88/H86</f>
        <v>0.71740422430790074</v>
      </c>
      <c r="K88" s="24"/>
    </row>
    <row r="89" spans="1:11" ht="15" customHeight="1" x14ac:dyDescent="0.4">
      <c r="B89" s="86" t="s">
        <v>206</v>
      </c>
      <c r="C89" s="256">
        <f>C88*Exchange_Rate/Dashboard!G3</f>
        <v>5.08130081300813E-2</v>
      </c>
      <c r="D89" s="204"/>
      <c r="E89" s="256">
        <f>E88*Exchange_Rate/Dashboard!G3</f>
        <v>5.08130081300813E-2</v>
      </c>
      <c r="F89" s="204"/>
      <c r="H89" s="256">
        <f>H88*Exchange_Rate/Dashboard!G3</f>
        <v>5.08130081300813E-2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121.39929453152222</v>
      </c>
      <c r="H93" s="86" t="s">
        <v>195</v>
      </c>
      <c r="I93" s="142">
        <f>FV(H87,D93,0,-(H86/(C93-D94)))*Exchange_Rate</f>
        <v>121.39929453152222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79.251358913780038</v>
      </c>
      <c r="H94" s="86" t="s">
        <v>196</v>
      </c>
      <c r="I94" s="142">
        <f>FV(H89,D93,0,-(H88/(C93-D94)))*Exchange_Rate</f>
        <v>79.251358913780038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174901.04848468705</v>
      </c>
      <c r="D97" s="208"/>
      <c r="E97" s="121">
        <f>PV(C94,D93,0,-F93)</f>
        <v>60.356904922697751</v>
      </c>
      <c r="F97" s="208"/>
      <c r="H97" s="121">
        <f>PV(C94,D93,0,-I93)</f>
        <v>60.356904922697751</v>
      </c>
      <c r="I97" s="121">
        <f>PV(C93,D93,0,-I93)</f>
        <v>82.383665267890194</v>
      </c>
      <c r="K97" s="24"/>
    </row>
    <row r="98" spans="2:11" ht="15" customHeight="1" x14ac:dyDescent="0.4">
      <c r="B98" s="28" t="s">
        <v>139</v>
      </c>
      <c r="C98" s="90">
        <f>-E53*Exchange_Rate</f>
        <v>-4354</v>
      </c>
      <c r="D98" s="208"/>
      <c r="E98" s="208"/>
      <c r="F98" s="208"/>
      <c r="H98" s="121">
        <f>C98*Data!$C$4/Common_Shares</f>
        <v>-1.5025293805281801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-101168.1</v>
      </c>
      <c r="D99" s="209"/>
      <c r="E99" s="143">
        <f>IF(H99&gt;0,H99*(1-C94),H99*(1+C94))</f>
        <v>-40.149115529523407</v>
      </c>
      <c r="F99" s="209"/>
      <c r="H99" s="143">
        <f>C99*Data!$C$4/Common_Shares</f>
        <v>-34.912274373498619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69378.948484687047</v>
      </c>
      <c r="D100" s="108">
        <f>MIN(F100*(1-C94),E100)</f>
        <v>18.125128502059777</v>
      </c>
      <c r="E100" s="108">
        <f>MAX(E97+H98+E99,0)</f>
        <v>18.705260012646164</v>
      </c>
      <c r="F100" s="108">
        <f>(E100+H100)/2</f>
        <v>21.323680590658562</v>
      </c>
      <c r="H100" s="108">
        <f>MAX(C100*Data!$C$4/Common_Shares,0)</f>
        <v>23.942101168670956</v>
      </c>
      <c r="I100" s="108">
        <f>MAX(I97+H98+H99,0)</f>
        <v>45.968861513863402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114178.14099617547</v>
      </c>
      <c r="D103" s="108">
        <f>MIN(F103*(1-C94),E103)</f>
        <v>33.491642108800256</v>
      </c>
      <c r="E103" s="121">
        <f>PV(C94,D93,0,-F94)</f>
        <v>39.401931892706187</v>
      </c>
      <c r="F103" s="108">
        <f>(E103+H103)/2</f>
        <v>39.401931892706187</v>
      </c>
      <c r="H103" s="121">
        <f>PV(C94,D93,0,-I94)</f>
        <v>39.401931892706187</v>
      </c>
      <c r="I103" s="108">
        <f>PV(C93,D93,0,-I94)</f>
        <v>53.781345682226956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84190.93724043126</v>
      </c>
      <c r="D106" s="108">
        <f>(D100+D103)/2</f>
        <v>25.808385305430015</v>
      </c>
      <c r="E106" s="121">
        <f>(E100+E103)/2</f>
        <v>29.053595952676176</v>
      </c>
      <c r="F106" s="108">
        <f>(F100+F103)/2</f>
        <v>30.362806241682375</v>
      </c>
      <c r="H106" s="121">
        <f>(H100+H103)/2</f>
        <v>31.672016530688573</v>
      </c>
      <c r="I106" s="121">
        <f>(I100+I103)/2</f>
        <v>49.875103598045179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