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8D4636A-5B53-455D-B33E-E145F50C644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D32" i="4"/>
  <c r="C32" i="4"/>
  <c r="D31" i="4"/>
  <c r="C31" i="4"/>
  <c r="D27" i="4"/>
  <c r="C27" i="4"/>
  <c r="B47" i="4"/>
  <c r="C49" i="3"/>
  <c r="D56" i="2"/>
  <c r="H56" i="2"/>
  <c r="I56" i="2"/>
  <c r="J56" i="2"/>
  <c r="L56" i="2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E95" i="4" l="1"/>
  <c r="F96" i="4"/>
  <c r="E92" i="4"/>
  <c r="F97" i="4"/>
  <c r="G56" i="2"/>
  <c r="F56" i="2"/>
  <c r="M56" i="2"/>
  <c r="E56" i="2"/>
  <c r="K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<sst xmlns="http://schemas.openxmlformats.org/spreadsheetml/2006/main" count="392" uniqueCount="275">
  <si>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</si>
  <si>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</si>
  <si>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</si>
  <si>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</si>
  <si>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</si>
  <si>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</si>
  <si>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</si>
  <si>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</si>
  <si>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</si>
  <si>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</si>
  <si>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</si>
  <si>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</si>
  <si>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</si>
  <si>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</si>
  <si>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</si>
  <si>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</si>
  <si>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</si>
  <si>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</si>
  <si>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</si>
  <si>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</si>
  <si>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</si>
  <si>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</si>
  <si>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</si>
  <si>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</si>
  <si>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</si>
  <si>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</si>
  <si>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</si>
  <si>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</si>
  <si>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</si>
  <si>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</si>
  <si>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</si>
  <si>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</si>
  <si>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</si>
  <si>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</si>
  <si>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</si>
  <si>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</si>
  <si>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</si>
  <si>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</si>
  <si>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</si>
  <si>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</si>
  <si>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</si>
  <si>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</si>
  <si>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</si>
  <si>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</si>
  <si>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</si>
  <si>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</si>
  <si>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</si>
  <si>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</si>
  <si>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</si>
  <si>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</si>
  <si>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</si>
  <si>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</si>
  <si>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</si>
  <si>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</si>
  <si>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</si>
  <si>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</si>
  <si>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</si>
  <si>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</si>
  <si>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</si>
  <si>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</si>
  <si>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</si>
  <si>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</si>
  <si>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</si>
  <si>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</si>
  <si>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</si>
  <si>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</si>
  <si>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</si>
  <si>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</si>
  <si>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</si>
  <si>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</si>
  <si>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</si>
  <si>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</si>
  <si>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</si>
  <si>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</si>
  <si>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</si>
  <si>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</si>
  <si>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</si>
  <si>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</si>
  <si>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</si>
  <si>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</si>
  <si>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</si>
  <si>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</si>
  <si>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</si>
  <si>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</si>
  <si>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</si>
  <si>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</si>
  <si>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</si>
  <si>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</si>
  <si>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</si>
  <si>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</si>
  <si>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</si>
  <si>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</si>
  <si>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</si>
  <si>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</si>
  <si>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</si>
  <si>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</si>
  <si>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</si>
  <si>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</si>
  <si>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</si>
  <si>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</si>
  <si>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</si>
  <si>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</si>
  <si>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</si>
  <si>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</si>
  <si>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</si>
  <si>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</si>
  <si>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</si>
  <si>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</si>
  <si>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</si>
  <si>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</si>
  <si>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</si>
  <si>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</si>
  <si>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</si>
  <si>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</si>
  <si>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</si>
  <si>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</si>
  <si>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</si>
  <si>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</si>
  <si>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</si>
  <si>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</si>
  <si>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</si>
  <si>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</si>
  <si>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</si>
  <si>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</si>
  <si>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</si>
  <si>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</si>
  <si>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</si>
  <si>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</si>
  <si>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</si>
  <si>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</si>
  <si>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</si>
  <si>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</si>
  <si>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</si>
  <si>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</si>
  <si>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</si>
  <si>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</si>
  <si>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</si>
  <si>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</si>
  <si>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</si>
  <si>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</si>
  <si>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</si>
  <si>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</si>
  <si>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</si>
  <si>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</si>
  <si>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</si>
  <si>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</si>
  <si>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</si>
  <si>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</si>
  <si>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</si>
  <si>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</si>
  <si>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</si>
  <si>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</si>
  <si>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</si>
  <si>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</si>
  <si>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</si>
  <si>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</si>
  <si>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</si>
  <si>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</si>
  <si>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</si>
  <si>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</si>
  <si>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</si>
  <si>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</si>
  <si>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</si>
  <si>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</si>
  <si>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</si>
  <si>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</si>
  <si>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</si>
  <si>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</si>
  <si>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</si>
  <si>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</si>
  <si>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</si>
  <si>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</si>
  <si>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</si>
  <si>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</si>
  <si>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</si>
  <si>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</si>
  <si>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</si>
  <si>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</si>
  <si>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</si>
  <si>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</si>
  <si>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</si>
  <si>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</si>
  <si>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</si>
  <si>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</si>
  <si>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</si>
  <si>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</si>
  <si>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</si>
  <si>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</si>
  <si>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</si>
  <si>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</si>
  <si>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</si>
  <si>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</si>
  <si>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</si>
  <si>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</si>
  <si>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</si>
  <si>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</si>
  <si>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</si>
  <si>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</si>
  <si>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</si>
  <si>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</si>
  <si>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</si>
  <si>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</si>
  <si>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</si>
  <si>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</si>
  <si>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</si>
  <si>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</si>
  <si>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</si>
  <si>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</si>
  <si>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</si>
  <si>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</si>
  <si>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</si>
  <si>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</si>
  <si>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</si>
  <si>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</si>
  <si>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</si>
  <si>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</si>
  <si>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</si>
  <si>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</si>
  <si>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</si>
  <si>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</si>
  <si>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</si>
  <si>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</si>
  <si>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</si>
  <si>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</si>
  <si>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</si>
  <si>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</si>
  <si>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</si>
  <si>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</si>
  <si>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</si>
  <si>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</si>
  <si>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</si>
  <si>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</si>
  <si>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</si>
  <si>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</si>
  <si>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</si>
  <si>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</si>
  <si>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</si>
  <si>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</si>
  <si>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</si>
  <si>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</si>
  <si>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</si>
  <si>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</si>
  <si>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</si>
  <si>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</si>
  <si>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</si>
  <si>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</si>
  <si>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</si>
  <si>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</si>
  <si>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</si>
  <si>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</si>
  <si>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</si>
  <si>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</si>
  <si>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</si>
  <si>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</si>
  <si>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</si>
  <si>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</si>
  <si>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</si>
  <si>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</si>
  <si>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</si>
  <si>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</si>
  <si>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</si>
  <si>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</si>
  <si>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</si>
  <si>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</si>
  <si>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</si>
  <si>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</si>
  <si>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</si>
  <si>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</si>
  <si>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</si>
  <si>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</si>
  <si>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0220.HK</t>
  </si>
  <si>
    <t>统一中国</t>
  </si>
  <si>
    <t>C0002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</si>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</sst>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270</v>
      </c>
    </row>
    <row r="5" spans="1:5" ht="13.9" x14ac:dyDescent="0.4">
      <c r="B5" s="139" t="s">
        <v>180</v>
      </c>
      <c r="C5" s="188" t="s">
        <v>271</v>
      </c>
    </row>
    <row r="6" spans="1:5" ht="13.9" x14ac:dyDescent="0.4">
      <c r="B6" s="139" t="s">
        <v>154</v>
      </c>
      <c r="C6" s="186">
        <v>45624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4319334000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241</v>
      </c>
    </row>
    <row r="16" spans="1:5" ht="13.9" x14ac:dyDescent="0.4">
      <c r="B16" s="217" t="s">
        <v>92</v>
      </c>
      <c r="C16" s="218">
        <v>0.25</v>
      </c>
      <c r="D16" s="24"/>
      <c r="E16" s="109" t="s">
        <v>269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28591271</v>
      </c>
      <c r="D25" s="147">
        <v>28257432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19879540</v>
      </c>
      <c r="D26" s="148">
        <v>20069515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f>6277942+1065856</f>
        <v>7343798</v>
      </c>
      <c r="D27" s="148">
        <f>5886596+1041026</f>
        <v>6927622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59121</v>
      </c>
      <c r="D29" s="148">
        <v>60526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0</v>
      </c>
      <c r="D30" s="148">
        <v>0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>
        <f>2962482-3624143</f>
        <v>-661661</v>
      </c>
      <c r="D31" s="148">
        <f>2869480-2055079</f>
        <v>814401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>
        <f>1021274+85158</f>
        <v>1106432</v>
      </c>
      <c r="D32" s="148">
        <f>1023585+92256</f>
        <v>1115841</v>
      </c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>
        <v>1078800</v>
      </c>
      <c r="D33" s="148">
        <v>545900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261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260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266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v>0.42449999999999999</v>
      </c>
      <c r="D44" s="245">
        <v>0.33950000000000002</v>
      </c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6.1064440791176337E-2</v>
      </c>
      <c r="D45" s="150">
        <f>IF(D44="","",D44*Exchange_Rate/Dashboard!$G$3)</f>
        <v>4.8837167605663999E-2</v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243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242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264</v>
      </c>
      <c r="C82" s="212"/>
    </row>
    <row r="83" spans="2:8" ht="14.25" hidden="1" thickTop="1" x14ac:dyDescent="0.4">
      <c r="B83" s="73" t="s">
        <v>265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28591271</v>
      </c>
      <c r="D91" s="204"/>
      <c r="E91" s="246">
        <f>C91</f>
        <v>28591271</v>
      </c>
      <c r="F91" s="246">
        <f>C91</f>
        <v>28591271</v>
      </c>
    </row>
    <row r="92" spans="2:8" ht="13.9" x14ac:dyDescent="0.4">
      <c r="B92" s="103" t="s">
        <v>101</v>
      </c>
      <c r="C92" s="77">
        <f>C26</f>
        <v>19879540</v>
      </c>
      <c r="D92" s="156">
        <f>C92/C91</f>
        <v>0.69530102386843873</v>
      </c>
      <c r="E92" s="247">
        <f>E91*D92</f>
        <v>19879540</v>
      </c>
      <c r="F92" s="247">
        <f>F91*D92</f>
        <v>19879540</v>
      </c>
    </row>
    <row r="93" spans="2:8" ht="13.9" x14ac:dyDescent="0.4">
      <c r="B93" s="103" t="s">
        <v>229</v>
      </c>
      <c r="C93" s="77">
        <f>C27+C28</f>
        <v>7343798</v>
      </c>
      <c r="D93" s="156">
        <f>C93/C91</f>
        <v>0.25685454836897598</v>
      </c>
      <c r="E93" s="247">
        <f>E91*D93</f>
        <v>7343798</v>
      </c>
      <c r="F93" s="247">
        <f>F91*D93</f>
        <v>7343798</v>
      </c>
    </row>
    <row r="94" spans="2:8" ht="13.9" x14ac:dyDescent="0.4">
      <c r="B94" s="103" t="s">
        <v>237</v>
      </c>
      <c r="C94" s="77">
        <f>C29</f>
        <v>59121</v>
      </c>
      <c r="D94" s="156">
        <f>C94/C91</f>
        <v>2.0677989446499247E-3</v>
      </c>
      <c r="E94" s="248"/>
      <c r="F94" s="247">
        <f>F91*D94</f>
        <v>59121</v>
      </c>
    </row>
    <row r="95" spans="2:8" ht="13.9" x14ac:dyDescent="0.4">
      <c r="B95" s="28" t="s">
        <v>228</v>
      </c>
      <c r="C95" s="77">
        <f>ABS(MAX(C33,0)-C32)</f>
        <v>27632</v>
      </c>
      <c r="D95" s="156">
        <f>C95/C91</f>
        <v>9.6644881579416319E-4</v>
      </c>
      <c r="E95" s="247">
        <f>E91*D95</f>
        <v>27632</v>
      </c>
      <c r="F95" s="247">
        <f>F91*D95</f>
        <v>27632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192</v>
      </c>
      <c r="C98" s="232">
        <f>C44</f>
        <v>0.42449999999999999</v>
      </c>
      <c r="D98" s="261"/>
      <c r="E98" s="249">
        <f>F98</f>
        <v>0.42449999999999999</v>
      </c>
      <c r="F98" s="249">
        <f>C98</f>
        <v>0.42449999999999999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0220.HK : 统一中国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0220.HK</v>
      </c>
      <c r="D3" s="291"/>
      <c r="E3" s="86"/>
      <c r="F3" s="3" t="s">
        <v>1</v>
      </c>
      <c r="G3" s="130">
        <v>7.42</v>
      </c>
      <c r="H3" s="132" t="s">
        <v>274</v>
      </c>
    </row>
    <row r="4" spans="1:10" ht="15.75" customHeight="1" x14ac:dyDescent="0.4">
      <c r="B4" s="35" t="s">
        <v>180</v>
      </c>
      <c r="C4" s="292" t="str">
        <f>Inputs!C5</f>
        <v>统一中国</v>
      </c>
      <c r="D4" s="293"/>
      <c r="E4" s="86"/>
      <c r="F4" s="3" t="s">
        <v>2</v>
      </c>
      <c r="G4" s="296">
        <f>Inputs!C10</f>
        <v>4319334000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45624</v>
      </c>
      <c r="D5" s="295"/>
      <c r="E5" s="34"/>
      <c r="F5" s="35" t="s">
        <v>95</v>
      </c>
      <c r="G5" s="288">
        <f>G3*G4/1000000</f>
        <v>32049.458279999999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C0002</v>
      </c>
      <c r="E7" s="86"/>
      <c r="F7" s="35" t="s">
        <v>5</v>
      </c>
      <c r="G7" s="131">
        <v>1.067369023958842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259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250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255</v>
      </c>
      <c r="C21" s="283">
        <f>Data!C13</f>
        <v>4.7844427762585302E-2</v>
      </c>
      <c r="F21" s="86"/>
      <c r="G21" s="29"/>
    </row>
    <row r="22" spans="1:8" ht="15.75" customHeight="1" x14ac:dyDescent="0.4">
      <c r="B22" s="273" t="s">
        <v>262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268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256</v>
      </c>
      <c r="C24" s="281">
        <f>Fin_Analysis!I81</f>
        <v>2.0677989446499247E-3</v>
      </c>
      <c r="F24" s="138" t="s">
        <v>240</v>
      </c>
      <c r="G24" s="263">
        <f>G3/(Fin_Analysis!H86*G7)</f>
        <v>31.248896409425434</v>
      </c>
    </row>
    <row r="25" spans="1:8" ht="15.75" customHeight="1" x14ac:dyDescent="0.4">
      <c r="B25" s="135" t="s">
        <v>257</v>
      </c>
      <c r="C25" s="168">
        <f>Fin_Analysis!I80</f>
        <v>0</v>
      </c>
      <c r="F25" s="138" t="s">
        <v>161</v>
      </c>
      <c r="G25" s="168">
        <f>Fin_Analysis!I88</f>
        <v>1.9081963845829624</v>
      </c>
    </row>
    <row r="26" spans="1:8" ht="15.75" customHeight="1" x14ac:dyDescent="0.4">
      <c r="B26" s="136" t="s">
        <v>258</v>
      </c>
      <c r="C26" s="168">
        <f>Fin_Analysis!I80+Fin_Analysis!I82</f>
        <v>9.6644881579416319E-4</v>
      </c>
      <c r="F26" s="139" t="s">
        <v>178</v>
      </c>
      <c r="G26" s="175">
        <f>Fin_Analysis!H88*Exchange_Rate/G3</f>
        <v>6.1064440791176337E-2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1.7730211925018342</v>
      </c>
      <c r="D29" s="127">
        <f>G29*(1+G20)</f>
        <v>3.1903115470747174</v>
      </c>
      <c r="E29" s="86"/>
      <c r="F29" s="129">
        <f>IF(Fin_Analysis!C108="Profit",Fin_Analysis!F100,IF(Fin_Analysis!C108="Dividend",Fin_Analysis!F103,Fin_Analysis!F106))</f>
        <v>2.0859072852962757</v>
      </c>
      <c r="G29" s="287">
        <f>IF(Fin_Analysis!C108="Profit",Fin_Analysis!I100,IF(Fin_Analysis!C108="Dividend",Fin_Analysis!I103,Fin_Analysis!I106))</f>
        <v>2.7741839539780155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1367933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28591271</v>
      </c>
      <c r="D6" s="197">
        <f>IF(Inputs!D25="","",Inputs!D25)</f>
        <v>28257432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1.1814201658522983E-2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19879540</v>
      </c>
      <c r="D8" s="196">
        <f>IF(Inputs!D26="","",Inputs!D26)</f>
        <v>20069515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8711731</v>
      </c>
      <c r="D9" s="149">
        <f t="shared" si="2"/>
        <v>8187917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7343798</v>
      </c>
      <c r="D10" s="196">
        <f>IF(Inputs!D27="","",Inputs!D27)</f>
        <v>6927622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0</v>
      </c>
      <c r="D12" s="196">
        <f>IF(Inputs!D30="","",MAX(Inputs!D30,0)/(1-Fin_Analysis!$I$84))</f>
        <v>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4.7844427762585302E-2</v>
      </c>
      <c r="D13" s="224">
        <f t="shared" si="3"/>
        <v>4.4600478911176356E-2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1367933</v>
      </c>
      <c r="D14" s="225">
        <f t="shared" ref="D14:M14" si="4">IF(D6="","",D9-D10-MAX(D11,0)-MAX(D12,0))</f>
        <v>1260295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8.5406988046449445E-2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-661661</v>
      </c>
      <c r="D16" s="196">
        <f>IF(Inputs!D31="","",Inputs!D31)</f>
        <v>814401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59121</v>
      </c>
      <c r="D17" s="196">
        <f>IF(Inputs!D29="","",Inputs!D29)</f>
        <v>60526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3.8698244649564548E-2</v>
      </c>
      <c r="D18" s="150">
        <f t="shared" si="6"/>
        <v>3.9488407863814377E-2</v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1106432</v>
      </c>
      <c r="D19" s="196">
        <f>IF(Inputs!D32="","",Inputs!D32)</f>
        <v>1115841</v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3.7731795833770385E-2</v>
      </c>
      <c r="D20" s="150">
        <f t="shared" si="7"/>
        <v>1.9318811419240078E-2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1078800</v>
      </c>
      <c r="D21" s="196">
        <f>IF(Inputs!D33="","",Inputs!D33)</f>
        <v>545900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1281180</v>
      </c>
      <c r="D22" s="158">
        <f t="shared" ref="D22:M22" si="8">IF(D6="","",D14-MAX(D16,0)-MAX(D17,0)-ABS(MAX(D21,0)-MAX(D19,0)))</f>
        <v>-184573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3.3607635001605907E-2</v>
      </c>
      <c r="D23" s="151">
        <f t="shared" si="9"/>
        <v>-4.8988793461486524E-3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960885</v>
      </c>
      <c r="D24" s="77">
        <f>IF(D6="","",D22*(1-Fin_Analysis!$I$84))</f>
        <v>-138429.75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 t="str">
        <f>IF(D24="","",IF(ABS(C24+D24)=ABS(C24)+ABS(D24),IF(C24&lt;0,-1,1)*(C24-D24)/D24,"Turn"))</f>
        <v>Turn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260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0.69530102386843873</v>
      </c>
      <c r="D40" s="154">
        <f t="shared" si="34"/>
        <v>0.71023846045174943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0.25685454836897598</v>
      </c>
      <c r="D41" s="151">
        <f t="shared" si="35"/>
        <v>0.24516106063707416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2.882077182385151E-2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2.0677989446499247E-3</v>
      </c>
      <c r="D43" s="151">
        <f t="shared" si="37"/>
        <v>2.1419497709487543E-3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9.6644881579416319E-4</v>
      </c>
      <c r="D45" s="151">
        <f t="shared" si="39"/>
        <v>2.0169596444574299E-2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4.4810180002141216E-2</v>
      </c>
      <c r="D46" s="151">
        <f t="shared" si="40"/>
        <v>-6.5318391281982031E-3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246</v>
      </c>
      <c r="C47" s="276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252</v>
      </c>
      <c r="C48" s="267" t="e">
        <f t="shared" ref="C48:M48" si="41">IF(C6="","",C6/C27)</f>
        <v>#DIV/0!</v>
      </c>
      <c r="D48" s="267" t="e">
        <f t="shared" si="41"/>
        <v>#VALUE!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253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254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244</v>
      </c>
      <c r="C51" s="151">
        <f t="shared" ref="C51:M51" si="44">IF(D6="","",C16/(C6-D6))</f>
        <v>-1.9819763418893539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248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4.6145740645342576E-2</v>
      </c>
      <c r="D55" s="151">
        <f t="shared" si="47"/>
        <v>-0.32792445265558884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267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249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250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251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28591271</v>
      </c>
      <c r="D74" s="204"/>
      <c r="E74" s="233">
        <f>Inputs!E91</f>
        <v>28591271</v>
      </c>
      <c r="F74" s="204"/>
      <c r="H74" s="233">
        <f>Inputs!F91</f>
        <v>28591271</v>
      </c>
      <c r="I74" s="204"/>
      <c r="K74" s="24"/>
    </row>
    <row r="75" spans="1:11" ht="15" customHeight="1" x14ac:dyDescent="0.4">
      <c r="B75" s="103" t="s">
        <v>101</v>
      </c>
      <c r="C75" s="77">
        <f>Data!C8</f>
        <v>19879540</v>
      </c>
      <c r="D75" s="156">
        <f>C75/$C$74</f>
        <v>0.69530102386843873</v>
      </c>
      <c r="E75" s="233">
        <f>Inputs!E92</f>
        <v>19879540</v>
      </c>
      <c r="F75" s="157">
        <f>E75/E74</f>
        <v>0.69530102386843873</v>
      </c>
      <c r="H75" s="233">
        <f>Inputs!F92</f>
        <v>19879540</v>
      </c>
      <c r="I75" s="157">
        <f>H75/$H$74</f>
        <v>0.69530102386843873</v>
      </c>
      <c r="K75" s="24"/>
    </row>
    <row r="76" spans="1:11" ht="15" customHeight="1" x14ac:dyDescent="0.4">
      <c r="B76" s="35" t="s">
        <v>91</v>
      </c>
      <c r="C76" s="158">
        <f>C74-C75</f>
        <v>8711731</v>
      </c>
      <c r="D76" s="205"/>
      <c r="E76" s="159">
        <f>E74-E75</f>
        <v>8711731</v>
      </c>
      <c r="F76" s="205"/>
      <c r="H76" s="159">
        <f>H74-H75</f>
        <v>8711731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7343798</v>
      </c>
      <c r="D77" s="156">
        <f>C77/$C$74</f>
        <v>0.25685454836897598</v>
      </c>
      <c r="E77" s="233">
        <f>Inputs!E93</f>
        <v>7343798</v>
      </c>
      <c r="F77" s="157">
        <f>E77/E74</f>
        <v>0.25685454836897598</v>
      </c>
      <c r="H77" s="233">
        <f>Inputs!F93</f>
        <v>7343798</v>
      </c>
      <c r="I77" s="157">
        <f>H77/$H$74</f>
        <v>0.25685454836897598</v>
      </c>
      <c r="K77" s="24"/>
    </row>
    <row r="78" spans="1:11" ht="15" customHeight="1" x14ac:dyDescent="0.4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216</v>
      </c>
      <c r="C79" s="252">
        <f>C76-C77-C78</f>
        <v>1367933</v>
      </c>
      <c r="D79" s="253">
        <f>C79/C74</f>
        <v>4.7844427762585302E-2</v>
      </c>
      <c r="E79" s="254">
        <f>E76-E77-E78</f>
        <v>1367933</v>
      </c>
      <c r="F79" s="253">
        <f>E79/E74</f>
        <v>4.7844427762585302E-2</v>
      </c>
      <c r="G79" s="255"/>
      <c r="H79" s="254">
        <f>H76-H77-H78</f>
        <v>1367933</v>
      </c>
      <c r="I79" s="253">
        <f>H79/H74</f>
        <v>4.7844427762585302E-2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59121</v>
      </c>
      <c r="D81" s="156">
        <f>C81/$C$74</f>
        <v>2.0677989446499247E-3</v>
      </c>
      <c r="E81" s="177">
        <f>E74*F81</f>
        <v>59121</v>
      </c>
      <c r="F81" s="157">
        <f>I81</f>
        <v>2.0677989446499247E-3</v>
      </c>
      <c r="H81" s="233">
        <f>Inputs!F94</f>
        <v>59121</v>
      </c>
      <c r="I81" s="157">
        <f>H81/$H$74</f>
        <v>2.0677989446499247E-3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27632</v>
      </c>
      <c r="D82" s="156">
        <f>C82/$C$74</f>
        <v>9.6644881579416319E-4</v>
      </c>
      <c r="E82" s="233">
        <f>Inputs!E95</f>
        <v>27632</v>
      </c>
      <c r="F82" s="157">
        <f>E82/E74</f>
        <v>9.6644881579416319E-4</v>
      </c>
      <c r="H82" s="233">
        <f>Inputs!F95</f>
        <v>27632</v>
      </c>
      <c r="I82" s="157">
        <f>H82/$H$74</f>
        <v>9.6644881579416319E-4</v>
      </c>
      <c r="K82" s="24"/>
    </row>
    <row r="83" spans="1:11" ht="15" customHeight="1" thickBot="1" x14ac:dyDescent="0.45">
      <c r="B83" s="104" t="s">
        <v>119</v>
      </c>
      <c r="C83" s="160">
        <f>C79-C81-C82-C80</f>
        <v>1281180</v>
      </c>
      <c r="D83" s="161">
        <f>C83/$C$74</f>
        <v>4.4810180002141216E-2</v>
      </c>
      <c r="E83" s="162">
        <f>E79-E81-E82-E80</f>
        <v>1281180</v>
      </c>
      <c r="F83" s="161">
        <f>E83/E74</f>
        <v>4.4810180002141216E-2</v>
      </c>
      <c r="H83" s="162">
        <f>H79-H81-H82-H80</f>
        <v>1281180</v>
      </c>
      <c r="I83" s="161">
        <f>H83/$H$74</f>
        <v>4.4810180002141216E-2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960885</v>
      </c>
      <c r="D85" s="253">
        <f>C85/$C$74</f>
        <v>3.3607635001605907E-2</v>
      </c>
      <c r="E85" s="259">
        <f>E83*(1-F84)</f>
        <v>960885</v>
      </c>
      <c r="F85" s="253">
        <f>E85/E74</f>
        <v>3.3607635001605907E-2</v>
      </c>
      <c r="G85" s="255"/>
      <c r="H85" s="259">
        <f>H83*(1-I84)</f>
        <v>960885</v>
      </c>
      <c r="I85" s="253">
        <f>H85/$H$74</f>
        <v>3.3607635001605907E-2</v>
      </c>
      <c r="K85" s="24"/>
    </row>
    <row r="86" spans="1:11" ht="15" customHeight="1" x14ac:dyDescent="0.4">
      <c r="B86" s="86" t="s">
        <v>151</v>
      </c>
      <c r="C86" s="164">
        <f>C85*Data!C4/Common_Shares</f>
        <v>0.22246137946266717</v>
      </c>
      <c r="D86" s="204"/>
      <c r="E86" s="165">
        <f>E85*Data!C4/Common_Shares</f>
        <v>0.22246137946266717</v>
      </c>
      <c r="F86" s="204"/>
      <c r="H86" s="165">
        <f>H85*Data!C4/Common_Shares</f>
        <v>0.22246137946266717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3.2001130116658311E-2</v>
      </c>
      <c r="D87" s="204"/>
      <c r="E87" s="257">
        <f>E86*Exchange_Rate/Dashboard!G3</f>
        <v>3.2001130116658311E-2</v>
      </c>
      <c r="F87" s="204"/>
      <c r="H87" s="257">
        <f>H86*Exchange_Rate/Dashboard!G3</f>
        <v>3.2001130116658311E-2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0.42449999999999999</v>
      </c>
      <c r="D88" s="163">
        <f>C88/C86</f>
        <v>1.9081963845829624</v>
      </c>
      <c r="E88" s="167">
        <f>Inputs!E98</f>
        <v>0.42449999999999999</v>
      </c>
      <c r="F88" s="163">
        <f>E88/E86</f>
        <v>1.9081963845829624</v>
      </c>
      <c r="H88" s="167">
        <f>Inputs!F98</f>
        <v>0.42449999999999999</v>
      </c>
      <c r="I88" s="163">
        <f>H88/H86</f>
        <v>1.9081963845829624</v>
      </c>
      <c r="K88" s="24"/>
    </row>
    <row r="89" spans="1:11" ht="15" customHeight="1" x14ac:dyDescent="0.4">
      <c r="B89" s="86" t="s">
        <v>205</v>
      </c>
      <c r="C89" s="256">
        <f>C88*Exchange_Rate/Dashboard!G3</f>
        <v>6.1064440791176337E-2</v>
      </c>
      <c r="D89" s="204"/>
      <c r="E89" s="256">
        <f>E88*Exchange_Rate/Dashboard!G3</f>
        <v>6.1064440791176337E-2</v>
      </c>
      <c r="F89" s="204"/>
      <c r="H89" s="256">
        <f>H88*Exchange_Rate/Dashboard!G3</f>
        <v>6.1064440791176337E-2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4.1955046107392757</v>
      </c>
      <c r="H93" s="86" t="s">
        <v>194</v>
      </c>
      <c r="I93" s="142">
        <f>FV(H87,D93,0,-(H86/(C93-D94)))*Exchange_Rate</f>
        <v>4.1955046107392757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9.1984617936883435</v>
      </c>
      <c r="H94" s="86" t="s">
        <v>195</v>
      </c>
      <c r="I94" s="142">
        <f>FV(H89,D93,0,-(H88/(C93-D94)))*Exchange_Rate</f>
        <v>9.1984617936883435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9009730.2582279034</v>
      </c>
      <c r="D97" s="208"/>
      <c r="E97" s="121">
        <f>PV(C94,D93,0,-F93)</f>
        <v>2.0859072852962757</v>
      </c>
      <c r="F97" s="208"/>
      <c r="H97" s="121">
        <f>PV(C94,D93,0,-I93)</f>
        <v>2.0859072852962757</v>
      </c>
      <c r="I97" s="121">
        <f>PV(C93,D93,0,-I93)</f>
        <v>2.7741839539780155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9009730.2582279034</v>
      </c>
      <c r="D100" s="108">
        <f>MIN(F100*(1-C94),E100)</f>
        <v>1.7730211925018342</v>
      </c>
      <c r="E100" s="108">
        <f>MAX(E97+H98+E99,0)</f>
        <v>2.0859072852962757</v>
      </c>
      <c r="F100" s="108">
        <f>(E100+H100)/2</f>
        <v>2.0859072852962757</v>
      </c>
      <c r="H100" s="108">
        <f>MAX(C100*Data!$C$4/Common_Shares,0)</f>
        <v>2.0859072852962757</v>
      </c>
      <c r="I100" s="108">
        <f>MAX(I97+H98+H99,0)</f>
        <v>2.7741839539780155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19753442.610838637</v>
      </c>
      <c r="D103" s="108">
        <f>MIN(F103*(1-C94),E103)</f>
        <v>3.8872720236992184</v>
      </c>
      <c r="E103" s="121">
        <f>PV(C94,D93,0,-F94)</f>
        <v>4.573261204352022</v>
      </c>
      <c r="F103" s="108">
        <f>(E103+H103)/2</f>
        <v>4.573261204352022</v>
      </c>
      <c r="H103" s="121">
        <f>PV(C94,D93,0,-I94)</f>
        <v>4.573261204352022</v>
      </c>
      <c r="I103" s="108">
        <f>PV(C93,D93,0,-I94)</f>
        <v>6.0822779324352974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14381586.434533272</v>
      </c>
      <c r="D106" s="108">
        <f>(D100+D103)/2</f>
        <v>2.8301466081005264</v>
      </c>
      <c r="E106" s="121">
        <f>(E100+E103)/2</f>
        <v>3.3295842448241491</v>
      </c>
      <c r="F106" s="108">
        <f>(F100+F103)/2</f>
        <v>3.3295842448241491</v>
      </c>
      <c r="H106" s="121">
        <f>(H100+H103)/2</f>
        <v>3.3295842448241491</v>
      </c>
      <c r="I106" s="121">
        <f>(I100+I103)/2</f>
        <v>4.4282309432066569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2024-12-18T02:18:02Z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