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D8CBC66-21E6-445F-9A90-EC4E8AFDA448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7" i="4"/>
  <c r="F95" i="4"/>
  <c r="E95" i="4"/>
  <c r="F94" i="4"/>
  <c r="F93" i="4"/>
  <c r="F91" i="4"/>
  <c r="F92" i="4" s="1"/>
  <c r="E91" i="4"/>
  <c r="E93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6" i="4" s="1"/>
  <c r="F44" i="4"/>
  <c r="E44" i="4"/>
  <c r="D44" i="4"/>
  <c r="C44" i="4"/>
  <c r="B47" i="4"/>
  <c r="C49" i="3"/>
  <c r="E56" i="2"/>
  <c r="F56" i="2"/>
  <c r="G56" i="2"/>
  <c r="H56" i="2"/>
  <c r="M56" i="2"/>
  <c r="C56" i="2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6" i="4" l="1"/>
  <c r="E92" i="4"/>
  <c r="D53" i="4"/>
  <c r="L56" i="2"/>
  <c r="D56" i="2"/>
  <c r="K56" i="2"/>
  <c r="I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<sst xmlns="http://schemas.openxmlformats.org/spreadsheetml/2006/main" count="392" uniqueCount="275">
  <si>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</si>
  <si>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</si>
  <si>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</si>
  <si>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</si>
  <si>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</si>
  <si>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</si>
  <si>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</si>
  <si>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</si>
  <si>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</si>
  <si>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</si>
  <si>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</si>
  <si>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</si>
  <si>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</si>
  <si>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</si>
  <si>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</si>
  <si>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</si>
  <si>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</si>
  <si>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</si>
  <si>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</si>
  <si>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</si>
  <si>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</si>
  <si>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</si>
  <si>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</si>
  <si>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</si>
  <si>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</si>
  <si>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</si>
  <si>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</si>
  <si>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</si>
  <si>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</si>
  <si>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</si>
  <si>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</si>
  <si>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</si>
  <si>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</si>
  <si>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</si>
  <si>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</si>
  <si>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</si>
  <si>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</si>
  <si>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</si>
  <si>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</si>
  <si>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</si>
  <si>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</si>
  <si>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</si>
  <si>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</si>
  <si>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</si>
  <si>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</si>
  <si>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</si>
  <si>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</si>
  <si>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</si>
  <si>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</si>
  <si>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</si>
  <si>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</si>
  <si>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</si>
  <si>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</si>
  <si>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</si>
  <si>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</si>
  <si>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</si>
  <si>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</si>
  <si>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</si>
  <si>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</si>
  <si>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</si>
  <si>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</si>
  <si>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</si>
  <si>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</si>
  <si>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</si>
  <si>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</si>
  <si>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</si>
  <si>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</si>
  <si>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</si>
  <si>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</si>
  <si>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</si>
  <si>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</si>
  <si>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</si>
  <si>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</si>
  <si>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</si>
  <si>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</si>
  <si>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</si>
  <si>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</si>
  <si>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</si>
  <si>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</si>
  <si>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</si>
  <si>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</si>
  <si>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</si>
  <si>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</si>
  <si>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</si>
  <si>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</si>
  <si>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</si>
  <si>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</si>
  <si>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</si>
  <si>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</si>
  <si>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</si>
  <si>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</si>
  <si>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</si>
  <si>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</si>
  <si>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</si>
  <si>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</si>
  <si>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</si>
  <si>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</si>
  <si>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</si>
  <si>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</si>
  <si>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</si>
  <si>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</si>
  <si>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</si>
  <si>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</si>
  <si>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</si>
  <si>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</si>
  <si>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</si>
  <si>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</si>
  <si>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</si>
  <si>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</si>
  <si>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</si>
  <si>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</si>
  <si>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</si>
  <si>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</si>
  <si>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</si>
  <si>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</si>
  <si>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</si>
  <si>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</si>
  <si>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</si>
  <si>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</si>
  <si>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</si>
  <si>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</si>
  <si>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</si>
  <si>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</si>
  <si>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</si>
  <si>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</si>
  <si>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</si>
  <si>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</si>
  <si>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</si>
  <si>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</si>
  <si>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</si>
  <si>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</si>
  <si>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</si>
  <si>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</si>
  <si>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</si>
  <si>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</si>
  <si>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</si>
  <si>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</si>
  <si>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</si>
  <si>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</si>
  <si>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</si>
  <si>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</si>
  <si>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</si>
  <si>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</si>
  <si>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</si>
  <si>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</si>
  <si>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</si>
  <si>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</si>
  <si>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</si>
  <si>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</si>
  <si>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</si>
  <si>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</si>
  <si>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</si>
  <si>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</si>
  <si>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</si>
  <si>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</si>
  <si>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</si>
  <si>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</si>
  <si>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</si>
  <si>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</si>
  <si>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</si>
  <si>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</si>
  <si>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</si>
  <si>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</si>
  <si>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</si>
  <si>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</si>
  <si>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</si>
  <si>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</si>
  <si>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</si>
  <si>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</si>
  <si>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</si>
  <si>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</si>
  <si>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</si>
  <si>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</si>
  <si>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</si>
  <si>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</si>
  <si>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</si>
  <si>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</si>
  <si>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</si>
  <si>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</si>
  <si>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</si>
  <si>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</si>
  <si>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</si>
  <si>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</si>
  <si>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</si>
  <si>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</si>
  <si>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</si>
  <si>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</si>
  <si>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</si>
  <si>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</si>
  <si>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</si>
  <si>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</si>
  <si>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</si>
  <si>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</si>
  <si>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</si>
  <si>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</si>
  <si>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</si>
  <si>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</si>
  <si>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</si>
  <si>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</si>
  <si>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</si>
  <si>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</si>
  <si>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</si>
  <si>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</si>
  <si>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</si>
  <si>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</si>
  <si>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</si>
  <si>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</si>
  <si>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</si>
  <si>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</si>
  <si>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</si>
  <si>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</si>
  <si>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</si>
  <si>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</si>
  <si>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</si>
  <si>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</si>
  <si>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</si>
  <si>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</si>
  <si>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</si>
  <si>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</si>
  <si>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</si>
  <si>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</si>
  <si>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</si>
  <si>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</si>
  <si>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</si>
  <si>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</si>
  <si>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</si>
  <si>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</si>
  <si>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</si>
  <si>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</si>
  <si>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</si>
  <si>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</si>
  <si>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</si>
  <si>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</si>
  <si>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</si>
  <si>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</si>
  <si>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</si>
  <si>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</si>
  <si>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</si>
  <si>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</si>
  <si>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</si>
  <si>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</si>
  <si>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</si>
  <si>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</si>
  <si>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</si>
  <si>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</si>
  <si>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</si>
  <si>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</si>
  <si>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</si>
  <si>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</si>
  <si>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</si>
  <si>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</si>
  <si>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</si>
  <si>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</si>
  <si>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</si>
  <si>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</si>
  <si>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</si>
  <si>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</si>
  <si>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</si>
  <si>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</si>
  <si>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</si>
  <si>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</si>
  <si>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</si>
  <si>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</si>
  <si>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</si>
  <si>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</si>
  <si>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</si>
  <si>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</si>
  <si>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</si>
  <si>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</si>
  <si>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</si>
  <si>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0586.HK</t>
  </si>
  <si>
    <t>海螺創業</t>
  </si>
  <si>
    <t>C0005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</si>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</sst>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270</v>
      </c>
    </row>
    <row r="5" spans="1:5" ht="13.9" x14ac:dyDescent="0.4">
      <c r="B5" s="139" t="s">
        <v>180</v>
      </c>
      <c r="C5" s="188" t="s">
        <v>271</v>
      </c>
    </row>
    <row r="6" spans="1:5" ht="13.9" x14ac:dyDescent="0.4">
      <c r="B6" s="139" t="s">
        <v>154</v>
      </c>
      <c r="C6" s="186">
        <v>45637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66</v>
      </c>
      <c r="E8" s="262"/>
    </row>
    <row r="9" spans="1:5" ht="13.9" x14ac:dyDescent="0.4">
      <c r="B9" s="138" t="s">
        <v>201</v>
      </c>
      <c r="C9" s="189" t="s">
        <v>272</v>
      </c>
    </row>
    <row r="10" spans="1:5" ht="13.9" x14ac:dyDescent="0.4">
      <c r="B10" s="138" t="s">
        <v>202</v>
      </c>
      <c r="C10" s="190">
        <v>1792041059</v>
      </c>
    </row>
    <row r="11" spans="1:5" ht="13.9" x14ac:dyDescent="0.4">
      <c r="B11" s="138" t="s">
        <v>203</v>
      </c>
      <c r="C11" s="189" t="s">
        <v>273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236</v>
      </c>
      <c r="C15" s="173" t="s">
        <v>241</v>
      </c>
    </row>
    <row r="16" spans="1:5" ht="13.9" x14ac:dyDescent="0.4">
      <c r="B16" s="217" t="s">
        <v>92</v>
      </c>
      <c r="C16" s="218">
        <v>0.25</v>
      </c>
      <c r="D16" s="24"/>
      <c r="E16" s="109" t="s">
        <v>269</v>
      </c>
    </row>
    <row r="17" spans="2:13" ht="13.9" x14ac:dyDescent="0.4">
      <c r="B17" s="235" t="s">
        <v>208</v>
      </c>
      <c r="C17" s="237" t="s">
        <v>227</v>
      </c>
      <c r="D17" s="24"/>
    </row>
    <row r="18" spans="2:13" ht="13.9" x14ac:dyDescent="0.4">
      <c r="B18" s="235" t="s">
        <v>222</v>
      </c>
      <c r="C18" s="237" t="s">
        <v>227</v>
      </c>
      <c r="D18" s="24"/>
    </row>
    <row r="19" spans="2:13" ht="13.9" x14ac:dyDescent="0.4">
      <c r="B19" s="235" t="s">
        <v>223</v>
      </c>
      <c r="C19" s="237" t="s">
        <v>227</v>
      </c>
      <c r="D19" s="24"/>
    </row>
    <row r="20" spans="2:13" ht="13.9" x14ac:dyDescent="0.4">
      <c r="B20" s="236" t="s">
        <v>212</v>
      </c>
      <c r="C20" s="237" t="s">
        <v>227</v>
      </c>
      <c r="D20" s="24"/>
    </row>
    <row r="21" spans="2:13" ht="13.9" x14ac:dyDescent="0.4">
      <c r="B21" s="219" t="s">
        <v>215</v>
      </c>
      <c r="C21" s="237" t="s">
        <v>227</v>
      </c>
      <c r="D21" s="24"/>
    </row>
    <row r="22" spans="2:13" ht="78.75" x14ac:dyDescent="0.4">
      <c r="B22" s="221" t="s">
        <v>214</v>
      </c>
      <c r="C22" s="238" t="s">
        <v>239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8015211</v>
      </c>
      <c r="D25" s="147">
        <v>7896322</v>
      </c>
      <c r="E25" s="147">
        <v>6680738</v>
      </c>
      <c r="F25" s="147">
        <v>5467178</v>
      </c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5836498</v>
      </c>
      <c r="D26" s="148">
        <v>5667569</v>
      </c>
      <c r="E26" s="148">
        <v>5033282</v>
      </c>
      <c r="F26" s="148">
        <v>4055231</v>
      </c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v>634511</v>
      </c>
      <c r="D27" s="148">
        <v>559116</v>
      </c>
      <c r="E27" s="148">
        <v>424153</v>
      </c>
      <c r="F27" s="148">
        <v>289355</v>
      </c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>
        <v>727912</v>
      </c>
      <c r="D29" s="148">
        <v>599440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219011</v>
      </c>
      <c r="D30" s="148">
        <v>231390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261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260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266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f>(0.2+0.1)/Exchange_Rate</f>
        <v>0.28106492999703925</v>
      </c>
      <c r="D44" s="245">
        <f>0.4/Exchange_Rate</f>
        <v>0.37475323999605231</v>
      </c>
      <c r="E44" s="245">
        <f>0.7/Exchange_Rate</f>
        <v>0.65581816999309139</v>
      </c>
      <c r="F44" s="245">
        <f>0.7/Exchange_Rate</f>
        <v>0.65581816999309139</v>
      </c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4.504504504504505E-2</v>
      </c>
      <c r="D45" s="150">
        <f>IF(D44="","",D44*Exchange_Rate/Dashboard!$G$3)</f>
        <v>6.006006006006006E-2</v>
      </c>
      <c r="E45" s="150">
        <f>IF(E44="","",E44*Exchange_Rate/Dashboard!$G$3)</f>
        <v>0.1051051051051051</v>
      </c>
      <c r="F45" s="150">
        <f>IF(F44="","",F44*Exchange_Rate/Dashboard!$G$3)</f>
        <v>0.1051051051051051</v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/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/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243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242</v>
      </c>
      <c r="C64" s="59"/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/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/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264</v>
      </c>
      <c r="C82" s="212"/>
    </row>
    <row r="83" spans="2:8" ht="14.25" hidden="1" thickTop="1" x14ac:dyDescent="0.4">
      <c r="B83" s="73" t="s">
        <v>265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232</v>
      </c>
      <c r="D87" s="264">
        <v>0.02</v>
      </c>
    </row>
    <row r="89" spans="2:8" ht="13.5" x14ac:dyDescent="0.35">
      <c r="B89" s="105" t="s">
        <v>121</v>
      </c>
      <c r="C89" s="284">
        <f>C24</f>
        <v>45291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8015211</v>
      </c>
      <c r="D91" s="204"/>
      <c r="E91" s="246">
        <f>C91</f>
        <v>8015211</v>
      </c>
      <c r="F91" s="246">
        <f>C91</f>
        <v>8015211</v>
      </c>
    </row>
    <row r="92" spans="2:8" ht="13.9" x14ac:dyDescent="0.4">
      <c r="B92" s="103" t="s">
        <v>101</v>
      </c>
      <c r="C92" s="77">
        <f>C26</f>
        <v>5836498</v>
      </c>
      <c r="D92" s="156">
        <f>C92/C91</f>
        <v>0.72817771110454854</v>
      </c>
      <c r="E92" s="247">
        <f>E91*D92</f>
        <v>5836498</v>
      </c>
      <c r="F92" s="247">
        <f>F91*D92</f>
        <v>5836498</v>
      </c>
    </row>
    <row r="93" spans="2:8" ht="13.9" x14ac:dyDescent="0.4">
      <c r="B93" s="103" t="s">
        <v>229</v>
      </c>
      <c r="C93" s="77">
        <f>C27+C28</f>
        <v>634511</v>
      </c>
      <c r="D93" s="156">
        <f>C93/C91</f>
        <v>7.9163355774414426E-2</v>
      </c>
      <c r="E93" s="247">
        <f>E91*D93</f>
        <v>634511</v>
      </c>
      <c r="F93" s="247">
        <f>F91*D93</f>
        <v>634511</v>
      </c>
    </row>
    <row r="94" spans="2:8" ht="13.9" x14ac:dyDescent="0.4">
      <c r="B94" s="103" t="s">
        <v>237</v>
      </c>
      <c r="C94" s="77">
        <f>C29</f>
        <v>727912</v>
      </c>
      <c r="D94" s="156">
        <f>C94/C91</f>
        <v>9.0816324111742036E-2</v>
      </c>
      <c r="E94" s="248"/>
      <c r="F94" s="247">
        <f>F91*D94</f>
        <v>727912</v>
      </c>
    </row>
    <row r="95" spans="2:8" ht="13.9" x14ac:dyDescent="0.4">
      <c r="B95" s="28" t="s">
        <v>228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292014.66666666669</v>
      </c>
      <c r="D97" s="156">
        <f>C97/C91</f>
        <v>3.6432561371954733E-2</v>
      </c>
      <c r="E97" s="248"/>
      <c r="F97" s="247">
        <f>F91*D97</f>
        <v>292014.66666666669</v>
      </c>
    </row>
    <row r="98" spans="2:7" ht="13.9" x14ac:dyDescent="0.4">
      <c r="B98" s="85" t="s">
        <v>192</v>
      </c>
      <c r="C98" s="232">
        <f>C44</f>
        <v>0.28106492999703925</v>
      </c>
      <c r="D98" s="261"/>
      <c r="E98" s="249">
        <f>F98</f>
        <v>0.18737661999802616</v>
      </c>
      <c r="F98" s="249">
        <f>0.2/Exchange_Rate</f>
        <v>0.18737661999802616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0586.HK : 海螺創業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0586.HK</v>
      </c>
      <c r="D3" s="291"/>
      <c r="E3" s="86"/>
      <c r="F3" s="3" t="s">
        <v>1</v>
      </c>
      <c r="G3" s="130">
        <v>6.66</v>
      </c>
      <c r="H3" s="132" t="s">
        <v>274</v>
      </c>
    </row>
    <row r="4" spans="1:10" ht="15.75" customHeight="1" x14ac:dyDescent="0.4">
      <c r="B4" s="35" t="s">
        <v>180</v>
      </c>
      <c r="C4" s="292" t="str">
        <f>Inputs!C5</f>
        <v>海螺創業</v>
      </c>
      <c r="D4" s="293"/>
      <c r="E4" s="86"/>
      <c r="F4" s="3" t="s">
        <v>2</v>
      </c>
      <c r="G4" s="296">
        <f>Inputs!C10</f>
        <v>1792041059</v>
      </c>
      <c r="H4" s="296"/>
      <c r="I4" s="39"/>
    </row>
    <row r="5" spans="1:10" ht="15.75" customHeight="1" x14ac:dyDescent="0.4">
      <c r="B5" s="3" t="s">
        <v>154</v>
      </c>
      <c r="C5" s="294">
        <f>Inputs!C6</f>
        <v>45637</v>
      </c>
      <c r="D5" s="295"/>
      <c r="E5" s="34"/>
      <c r="F5" s="35" t="s">
        <v>95</v>
      </c>
      <c r="G5" s="288">
        <f>G3*G4/1000000</f>
        <v>11934.99345294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9" t="str">
        <f>Inputs!C11</f>
        <v>CNY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>N</v>
      </c>
      <c r="D7" s="184" t="str">
        <f>Inputs!C9</f>
        <v>C0005</v>
      </c>
      <c r="E7" s="86"/>
      <c r="F7" s="35" t="s">
        <v>5</v>
      </c>
      <c r="G7" s="131">
        <v>1.067369023958842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CN</v>
      </c>
      <c r="F16" s="109" t="s">
        <v>165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259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250</v>
      </c>
      <c r="C20" s="271" t="e">
        <f>C21*C22*C23</f>
        <v>#DIV/0!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255</v>
      </c>
      <c r="C21" s="283">
        <f>Data!C13</f>
        <v>0.15622637174908224</v>
      </c>
      <c r="F21" s="86"/>
      <c r="G21" s="29"/>
    </row>
    <row r="22" spans="1:8" ht="15.75" customHeight="1" x14ac:dyDescent="0.4">
      <c r="B22" s="273" t="s">
        <v>262</v>
      </c>
      <c r="C22" s="274" t="e">
        <f>Data!C48</f>
        <v>#DIV/0!</v>
      </c>
      <c r="F22" s="140" t="s">
        <v>170</v>
      </c>
    </row>
    <row r="23" spans="1:8" ht="15.75" customHeight="1" thickBot="1" x14ac:dyDescent="0.45">
      <c r="B23" s="275" t="s">
        <v>268</v>
      </c>
      <c r="C23" s="282" t="e">
        <f>1/Data!C53</f>
        <v>#DIV/0!</v>
      </c>
      <c r="F23" s="138" t="s">
        <v>174</v>
      </c>
      <c r="G23" s="174" t="e">
        <f>G3/(Data!C34*Data!C4/Common_Shares*Exchange_Rate)</f>
        <v>#DIV/0!</v>
      </c>
    </row>
    <row r="24" spans="1:8" ht="15.75" customHeight="1" x14ac:dyDescent="0.4">
      <c r="B24" s="280" t="s">
        <v>256</v>
      </c>
      <c r="C24" s="281">
        <f>Fin_Analysis!I81</f>
        <v>9.0816324111742036E-2</v>
      </c>
      <c r="F24" s="138" t="s">
        <v>240</v>
      </c>
      <c r="G24" s="263">
        <f>G3/(Fin_Analysis!H86*G7)</f>
        <v>28.437204533883197</v>
      </c>
    </row>
    <row r="25" spans="1:8" ht="15.75" customHeight="1" x14ac:dyDescent="0.4">
      <c r="B25" s="135" t="s">
        <v>257</v>
      </c>
      <c r="C25" s="168">
        <f>Fin_Analysis!I80</f>
        <v>0</v>
      </c>
      <c r="F25" s="138" t="s">
        <v>161</v>
      </c>
      <c r="G25" s="168">
        <f>Fin_Analysis!I88</f>
        <v>0.85397010612261859</v>
      </c>
    </row>
    <row r="26" spans="1:8" ht="15.75" customHeight="1" x14ac:dyDescent="0.4">
      <c r="B26" s="136" t="s">
        <v>258</v>
      </c>
      <c r="C26" s="168">
        <f>Fin_Analysis!I80+Fin_Analysis!I82</f>
        <v>0</v>
      </c>
      <c r="F26" s="139" t="s">
        <v>178</v>
      </c>
      <c r="G26" s="175">
        <f>Fin_Analysis!H88*Exchange_Rate/G3</f>
        <v>3.003003003003003E-2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238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1.7757404497988885</v>
      </c>
      <c r="D29" s="127">
        <f>G29*(1+G20)</f>
        <v>3.1952044823599515</v>
      </c>
      <c r="E29" s="86"/>
      <c r="F29" s="129">
        <f>IF(Fin_Analysis!C108="Profit",Fin_Analysis!F100,IF(Fin_Analysis!C108="Dividend",Fin_Analysis!F103,Fin_Analysis!F106))</f>
        <v>2.0891064115281042</v>
      </c>
      <c r="G29" s="287">
        <f>IF(Fin_Analysis!C108="Profit",Fin_Analysis!I100,IF(Fin_Analysis!C108="Dividend",Fin_Analysis!I103,Fin_Analysis!I106))</f>
        <v>2.7784386803130015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unclear</v>
      </c>
    </row>
    <row r="34" spans="1:3" ht="15.75" customHeight="1" x14ac:dyDescent="0.4">
      <c r="A34"/>
      <c r="B34" s="19" t="s">
        <v>209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unclear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1252187.3333333333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CNY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8015211</v>
      </c>
      <c r="D6" s="197">
        <f>IF(Inputs!D25="","",Inputs!D25)</f>
        <v>7896322</v>
      </c>
      <c r="E6" s="197">
        <f>IF(Inputs!E25="","",Inputs!E25)</f>
        <v>6680738</v>
      </c>
      <c r="F6" s="197">
        <f>IF(Inputs!F25="","",Inputs!F25)</f>
        <v>5467178</v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1.5056250239035229E-2</v>
      </c>
      <c r="D7" s="91">
        <f t="shared" si="1"/>
        <v>0.18195355064066265</v>
      </c>
      <c r="E7" s="91">
        <f t="shared" si="1"/>
        <v>0.22197192043134506</v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5836498</v>
      </c>
      <c r="D8" s="196">
        <f>IF(Inputs!D26="","",Inputs!D26)</f>
        <v>5667569</v>
      </c>
      <c r="E8" s="196">
        <f>IF(Inputs!E26="","",Inputs!E26)</f>
        <v>5033282</v>
      </c>
      <c r="F8" s="196">
        <f>IF(Inputs!F26="","",Inputs!F26)</f>
        <v>4055231</v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2178713</v>
      </c>
      <c r="D9" s="149">
        <f t="shared" si="2"/>
        <v>2228753</v>
      </c>
      <c r="E9" s="149">
        <f t="shared" si="2"/>
        <v>1647456</v>
      </c>
      <c r="F9" s="149">
        <f t="shared" si="2"/>
        <v>1411947</v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634511</v>
      </c>
      <c r="D10" s="196">
        <f>IF(Inputs!D27="","",Inputs!D27)</f>
        <v>559116</v>
      </c>
      <c r="E10" s="196">
        <f>IF(Inputs!E27="","",Inputs!E27)</f>
        <v>424153</v>
      </c>
      <c r="F10" s="196">
        <f>IF(Inputs!F27="","",Inputs!F27)</f>
        <v>289355</v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292014.66666666669</v>
      </c>
      <c r="D12" s="196">
        <f>IF(Inputs!D30="","",MAX(Inputs!D30,0)/(1-Fin_Analysis!$I$84))</f>
        <v>308520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0.15622637174908224</v>
      </c>
      <c r="D13" s="224">
        <f t="shared" si="3"/>
        <v>0.17237354302420799</v>
      </c>
      <c r="E13" s="224">
        <f t="shared" si="3"/>
        <v>0.18310896191408793</v>
      </c>
      <c r="F13" s="224">
        <f t="shared" si="3"/>
        <v>0.2053329889752995</v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1252187.3333333333</v>
      </c>
      <c r="D14" s="225">
        <f t="shared" ref="D14:M14" si="4">IF(D6="","",D9-D10-MAX(D11,0)-MAX(D12,0))</f>
        <v>1361117</v>
      </c>
      <c r="E14" s="225">
        <f t="shared" si="4"/>
        <v>1223303</v>
      </c>
      <c r="F14" s="225">
        <f t="shared" si="4"/>
        <v>1122592</v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-8.0029612933103289E-2</v>
      </c>
      <c r="D15" s="227">
        <f t="shared" ref="D15:M15" si="5">IF(E14="","",IF(ABS(D14+E14)=ABS(D14)+ABS(E14),IF(D14&lt;0,-1,1)*(D14-E14)/E14,"Turn"))</f>
        <v>0.1126572893224328</v>
      </c>
      <c r="E15" s="227">
        <f t="shared" si="5"/>
        <v>8.9712914398107232E-2</v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>
        <f>IF(Inputs!C29="","",Inputs!C29)</f>
        <v>727912</v>
      </c>
      <c r="D17" s="196">
        <f>IF(Inputs!D29="","",Inputs!D29)</f>
        <v>599440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0</v>
      </c>
      <c r="D20" s="150">
        <f t="shared" si="7"/>
        <v>0</v>
      </c>
      <c r="E20" s="150">
        <f t="shared" si="7"/>
        <v>0</v>
      </c>
      <c r="F20" s="150">
        <f t="shared" si="7"/>
        <v>0</v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524275.33333333326</v>
      </c>
      <c r="D22" s="158">
        <f t="shared" ref="D22:M22" si="8">IF(D6="","",D14-MAX(D16,0)-MAX(D17,0)-ABS(MAX(D21,0)-MAX(D19,0)))</f>
        <v>761677</v>
      </c>
      <c r="E22" s="158">
        <f t="shared" si="8"/>
        <v>1223303</v>
      </c>
      <c r="F22" s="158">
        <f t="shared" si="8"/>
        <v>1122592</v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4.9057535728005155E-2</v>
      </c>
      <c r="D23" s="151">
        <f t="shared" si="9"/>
        <v>7.2344789130939696E-2</v>
      </c>
      <c r="E23" s="151">
        <f t="shared" si="9"/>
        <v>0.13733172143556596</v>
      </c>
      <c r="F23" s="151">
        <f t="shared" si="9"/>
        <v>0.15399974173147463</v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393206.49999999994</v>
      </c>
      <c r="D24" s="77">
        <f>IF(D6="","",D22*(1-Fin_Analysis!$I$84))</f>
        <v>571257.75</v>
      </c>
      <c r="E24" s="77">
        <f>IF(E6="","",E22*(1-Fin_Analysis!$I$84))</f>
        <v>917477.25</v>
      </c>
      <c r="F24" s="77">
        <f>IF(F6="","",F22*(1-Fin_Analysis!$I$84))</f>
        <v>841944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-0.31168286119531868</v>
      </c>
      <c r="D25" s="228">
        <f t="shared" ref="D25:M25" si="10">IF(E24="","",IF(ABS(D24+E24)=ABS(D24)+ABS(E24),IF(D24&lt;0,-1,1)*(D24-E24)/E24,"Turn"))</f>
        <v>-0.37736031056900865</v>
      </c>
      <c r="E25" s="228">
        <f t="shared" si="10"/>
        <v>8.9712914398107232E-2</v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260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 t="e">
        <f>IF(C6="","",C14/MAX(C37,0))</f>
        <v>#DIV/0!</v>
      </c>
      <c r="D38" s="153" t="e">
        <f>IF(D6="","",D14/MAX(D37,0))</f>
        <v>#DIV/0!</v>
      </c>
      <c r="E38" s="153" t="e">
        <f>IF(E6="","",E14/MAX(E37,0))</f>
        <v>#DIV/0!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245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0.72817771110454854</v>
      </c>
      <c r="D40" s="154">
        <f t="shared" si="34"/>
        <v>0.71774795911311617</v>
      </c>
      <c r="E40" s="154">
        <f t="shared" si="34"/>
        <v>0.75340209419977255</v>
      </c>
      <c r="F40" s="154">
        <f t="shared" si="34"/>
        <v>0.74174116884432884</v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7.9163355774414426E-2</v>
      </c>
      <c r="D41" s="151">
        <f t="shared" si="35"/>
        <v>7.080714286980698E-2</v>
      </c>
      <c r="E41" s="151">
        <f t="shared" si="35"/>
        <v>6.3488943886139529E-2</v>
      </c>
      <c r="F41" s="151">
        <f t="shared" si="35"/>
        <v>5.2925842180371663E-2</v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9.0816324111742036E-2</v>
      </c>
      <c r="D43" s="151">
        <f t="shared" si="37"/>
        <v>7.5913824182955059E-2</v>
      </c>
      <c r="E43" s="151">
        <f t="shared" si="37"/>
        <v>0</v>
      </c>
      <c r="F43" s="151">
        <f t="shared" si="37"/>
        <v>0</v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3.6432561371954733E-2</v>
      </c>
      <c r="D44" s="151">
        <f t="shared" si="38"/>
        <v>3.9071354992868831E-2</v>
      </c>
      <c r="E44" s="151">
        <f t="shared" si="38"/>
        <v>0</v>
      </c>
      <c r="F44" s="151">
        <f t="shared" si="38"/>
        <v>0</v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>
        <f t="shared" si="39"/>
        <v>0</v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6.5410047637340207E-2</v>
      </c>
      <c r="D46" s="151">
        <f t="shared" si="40"/>
        <v>9.6459718841252928E-2</v>
      </c>
      <c r="E46" s="151">
        <f t="shared" si="40"/>
        <v>0.18310896191408793</v>
      </c>
      <c r="F46" s="151">
        <f t="shared" si="40"/>
        <v>0.2053329889752995</v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246</v>
      </c>
      <c r="C47" s="276" t="s">
        <v>263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252</v>
      </c>
      <c r="C48" s="267" t="e">
        <f t="shared" ref="C48:M48" si="41">IF(C6="","",C6/C27)</f>
        <v>#DIV/0!</v>
      </c>
      <c r="D48" s="267" t="e">
        <f t="shared" si="41"/>
        <v>#VALUE!</v>
      </c>
      <c r="E48" s="267" t="e">
        <f t="shared" si="41"/>
        <v>#VALUE!</v>
      </c>
      <c r="F48" s="267" t="e">
        <f t="shared" si="41"/>
        <v>#VALUE!</v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253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254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244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e">
        <f t="shared" si="44"/>
        <v>#VALUE!</v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247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248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1.388415501778328</v>
      </c>
      <c r="D55" s="151">
        <f t="shared" si="47"/>
        <v>0.787000263891387</v>
      </c>
      <c r="E55" s="151" t="str">
        <f t="shared" si="47"/>
        <v>-</v>
      </c>
      <c r="F55" s="151" t="str">
        <f t="shared" si="47"/>
        <v>-</v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267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249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250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e">
        <f t="shared" si="49"/>
        <v>#VALUE!</v>
      </c>
      <c r="F58" s="269" t="e">
        <f t="shared" si="49"/>
        <v>#VALUE!</v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251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e">
        <f t="shared" si="50"/>
        <v>#VALUE!</v>
      </c>
      <c r="F59" s="269" t="e">
        <f t="shared" si="50"/>
        <v>#VALUE!</v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0</v>
      </c>
      <c r="K3" s="24"/>
    </row>
    <row r="4" spans="1:11" ht="15" customHeight="1" x14ac:dyDescent="0.4">
      <c r="B4" s="3" t="s">
        <v>22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0</v>
      </c>
      <c r="E6" s="56" t="e">
        <f>1-D6/D3</f>
        <v>#DIV/0!</v>
      </c>
      <c r="F6" s="86"/>
      <c r="G6" s="86"/>
      <c r="H6" s="1" t="s">
        <v>25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51</v>
      </c>
      <c r="I25" s="63" t="e">
        <f>E28/I28</f>
        <v>#DIV/0!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53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55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15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0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76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77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79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80</v>
      </c>
      <c r="I48" s="277">
        <f>I49-I28</f>
        <v>0</v>
      </c>
      <c r="J48" s="8"/>
    </row>
    <row r="49" spans="2:11" ht="15" customHeight="1" thickTop="1" x14ac:dyDescent="0.4">
      <c r="B49" s="3" t="s">
        <v>13</v>
      </c>
      <c r="C49" s="61">
        <f>Inputs!C41+Inputs!C37</f>
        <v>0</v>
      </c>
      <c r="D49" s="56" t="e">
        <f>E49/C49</f>
        <v>#DIV/0!</v>
      </c>
      <c r="E49" s="87">
        <f>E28+E48</f>
        <v>0</v>
      </c>
      <c r="F49" s="86"/>
      <c r="G49" s="86"/>
      <c r="H49" s="3" t="s">
        <v>81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0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0</v>
      </c>
      <c r="D70" s="29">
        <f t="shared" si="2"/>
        <v>0</v>
      </c>
      <c r="E70" s="68">
        <f>E68-E69</f>
        <v>0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45291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8015211</v>
      </c>
      <c r="D74" s="204"/>
      <c r="E74" s="233">
        <f>Inputs!E91</f>
        <v>8015211</v>
      </c>
      <c r="F74" s="204"/>
      <c r="H74" s="233">
        <f>Inputs!F91</f>
        <v>8015211</v>
      </c>
      <c r="I74" s="204"/>
      <c r="K74" s="24"/>
    </row>
    <row r="75" spans="1:11" ht="15" customHeight="1" x14ac:dyDescent="0.4">
      <c r="B75" s="103" t="s">
        <v>101</v>
      </c>
      <c r="C75" s="77">
        <f>Data!C8</f>
        <v>5836498</v>
      </c>
      <c r="D75" s="156">
        <f>C75/$C$74</f>
        <v>0.72817771110454854</v>
      </c>
      <c r="E75" s="233">
        <f>Inputs!E92</f>
        <v>5836498</v>
      </c>
      <c r="F75" s="157">
        <f>E75/E74</f>
        <v>0.72817771110454854</v>
      </c>
      <c r="H75" s="233">
        <f>Inputs!F92</f>
        <v>5836498</v>
      </c>
      <c r="I75" s="157">
        <f>H75/$H$74</f>
        <v>0.72817771110454854</v>
      </c>
      <c r="K75" s="24"/>
    </row>
    <row r="76" spans="1:11" ht="15" customHeight="1" x14ac:dyDescent="0.4">
      <c r="B76" s="35" t="s">
        <v>91</v>
      </c>
      <c r="C76" s="158">
        <f>C74-C75</f>
        <v>2178713</v>
      </c>
      <c r="D76" s="205"/>
      <c r="E76" s="159">
        <f>E74-E75</f>
        <v>2178713</v>
      </c>
      <c r="F76" s="205"/>
      <c r="H76" s="159">
        <f>H74-H75</f>
        <v>2178713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634511</v>
      </c>
      <c r="D77" s="156">
        <f>C77/$C$74</f>
        <v>7.9163355774414426E-2</v>
      </c>
      <c r="E77" s="233">
        <f>Inputs!E93</f>
        <v>634511</v>
      </c>
      <c r="F77" s="157">
        <f>E77/E74</f>
        <v>7.9163355774414426E-2</v>
      </c>
      <c r="H77" s="233">
        <f>Inputs!F93</f>
        <v>634511</v>
      </c>
      <c r="I77" s="157">
        <f>H77/$H$74</f>
        <v>7.9163355774414426E-2</v>
      </c>
      <c r="K77" s="24"/>
    </row>
    <row r="78" spans="1:11" ht="15" customHeight="1" x14ac:dyDescent="0.4">
      <c r="B78" s="73" t="s">
        <v>160</v>
      </c>
      <c r="C78" s="77">
        <f>MAX(Data!C12,0)</f>
        <v>292014.66666666669</v>
      </c>
      <c r="D78" s="156">
        <f>C78/$C$74</f>
        <v>3.6432561371954733E-2</v>
      </c>
      <c r="E78" s="177">
        <f>E74*F78</f>
        <v>292014.66666666669</v>
      </c>
      <c r="F78" s="157">
        <f>I78</f>
        <v>3.6432561371954733E-2</v>
      </c>
      <c r="H78" s="233">
        <f>Inputs!F97</f>
        <v>292014.66666666669</v>
      </c>
      <c r="I78" s="157">
        <f>H78/$H$74</f>
        <v>3.6432561371954733E-2</v>
      </c>
      <c r="K78" s="24"/>
    </row>
    <row r="79" spans="1:11" ht="15" customHeight="1" x14ac:dyDescent="0.4">
      <c r="B79" s="251" t="s">
        <v>216</v>
      </c>
      <c r="C79" s="252">
        <f>C76-C77-C78</f>
        <v>1252187.3333333333</v>
      </c>
      <c r="D79" s="253">
        <f>C79/C74</f>
        <v>0.15622637174908224</v>
      </c>
      <c r="E79" s="254">
        <f>E76-E77-E78</f>
        <v>1252187.3333333333</v>
      </c>
      <c r="F79" s="253">
        <f>E79/E74</f>
        <v>0.15622637174908224</v>
      </c>
      <c r="G79" s="255"/>
      <c r="H79" s="254">
        <f>H76-H77-H78</f>
        <v>1252187.3333333333</v>
      </c>
      <c r="I79" s="253">
        <f>H79/H74</f>
        <v>0.15622637174908224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237</v>
      </c>
      <c r="C81" s="77">
        <f>MAX(Data!C17,0)</f>
        <v>727912</v>
      </c>
      <c r="D81" s="156">
        <f>C81/$C$74</f>
        <v>9.0816324111742036E-2</v>
      </c>
      <c r="E81" s="177">
        <f>E74*F81</f>
        <v>727912</v>
      </c>
      <c r="F81" s="157">
        <f>I81</f>
        <v>9.0816324111742036E-2</v>
      </c>
      <c r="H81" s="233">
        <f>Inputs!F94</f>
        <v>727912</v>
      </c>
      <c r="I81" s="157">
        <f>H81/$H$74</f>
        <v>9.0816324111742036E-2</v>
      </c>
      <c r="K81" s="24"/>
    </row>
    <row r="82" spans="1:11" ht="15" customHeight="1" x14ac:dyDescent="0.4">
      <c r="B82" s="28" t="s">
        <v>228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119</v>
      </c>
      <c r="C83" s="160">
        <f>C79-C81-C82-C80</f>
        <v>524275.33333333326</v>
      </c>
      <c r="D83" s="161">
        <f>C83/$C$74</f>
        <v>6.5410047637340207E-2</v>
      </c>
      <c r="E83" s="162">
        <f>E79-E81-E82-E80</f>
        <v>524275.33333333326</v>
      </c>
      <c r="F83" s="161">
        <f>E83/E74</f>
        <v>6.5410047637340207E-2</v>
      </c>
      <c r="H83" s="162">
        <f>H79-H81-H82-H80</f>
        <v>524275.33333333326</v>
      </c>
      <c r="I83" s="161">
        <f>H83/$H$74</f>
        <v>6.5410047637340207E-2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393206.49999999994</v>
      </c>
      <c r="D85" s="253">
        <f>C85/$C$74</f>
        <v>4.9057535728005155E-2</v>
      </c>
      <c r="E85" s="259">
        <f>E83*(1-F84)</f>
        <v>393206.49999999994</v>
      </c>
      <c r="F85" s="253">
        <f>E85/E74</f>
        <v>4.9057535728005155E-2</v>
      </c>
      <c r="G85" s="255"/>
      <c r="H85" s="259">
        <f>H83*(1-I84)</f>
        <v>393206.49999999994</v>
      </c>
      <c r="I85" s="253">
        <f>H85/$H$74</f>
        <v>4.9057535728005155E-2</v>
      </c>
      <c r="K85" s="24"/>
    </row>
    <row r="86" spans="1:11" ht="15" customHeight="1" x14ac:dyDescent="0.4">
      <c r="B86" s="86" t="s">
        <v>151</v>
      </c>
      <c r="C86" s="164">
        <f>C85*Data!C4/Common_Shares</f>
        <v>0.21941824269328861</v>
      </c>
      <c r="D86" s="204"/>
      <c r="E86" s="165">
        <f>E85*Data!C4/Common_Shares</f>
        <v>0.21941824269328861</v>
      </c>
      <c r="F86" s="204"/>
      <c r="H86" s="165">
        <f>H85*Data!C4/Common_Shares</f>
        <v>0.21941824269328861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3.5165200531876849E-2</v>
      </c>
      <c r="D87" s="204"/>
      <c r="E87" s="257">
        <f>E86*Exchange_Rate/Dashboard!G3</f>
        <v>3.5165200531876849E-2</v>
      </c>
      <c r="F87" s="204"/>
      <c r="H87" s="257">
        <f>H86*Exchange_Rate/Dashboard!G3</f>
        <v>3.5165200531876849E-2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0.28106492999703925</v>
      </c>
      <c r="D88" s="163">
        <f>C88/C86</f>
        <v>1.2809551591839279</v>
      </c>
      <c r="E88" s="167">
        <f>Inputs!E98</f>
        <v>0.18737661999802616</v>
      </c>
      <c r="F88" s="163">
        <f>E88/E86</f>
        <v>0.85397010612261859</v>
      </c>
      <c r="H88" s="167">
        <f>Inputs!F98</f>
        <v>0.18737661999802616</v>
      </c>
      <c r="I88" s="163">
        <f>H88/H86</f>
        <v>0.85397010612261859</v>
      </c>
      <c r="K88" s="24"/>
    </row>
    <row r="89" spans="1:11" ht="15" customHeight="1" x14ac:dyDescent="0.4">
      <c r="B89" s="86" t="s">
        <v>205</v>
      </c>
      <c r="C89" s="256">
        <f>C88*Exchange_Rate/Dashboard!G3</f>
        <v>4.504504504504505E-2</v>
      </c>
      <c r="D89" s="204"/>
      <c r="E89" s="256">
        <f>E88*Exchange_Rate/Dashboard!G3</f>
        <v>3.003003003003003E-2</v>
      </c>
      <c r="F89" s="204"/>
      <c r="H89" s="256">
        <f>H88*Exchange_Rate/Dashboard!G3</f>
        <v>3.003003003003003E-2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CN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194</v>
      </c>
      <c r="F93" s="142">
        <f>FV(E87,D93,0,-(E86/(C93-D94)))*Exchange_Rate</f>
        <v>4.2019391962793842</v>
      </c>
      <c r="H93" s="86" t="s">
        <v>194</v>
      </c>
      <c r="I93" s="142">
        <f>FV(H87,D93,0,-(H86/(C93-D94)))*Exchange_Rate</f>
        <v>4.2019391962793842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3.5002055229323656</v>
      </c>
      <c r="H94" s="86" t="s">
        <v>195</v>
      </c>
      <c r="I94" s="142">
        <f>FV(H89,D93,0,-(H88/(C93-D94)))*Exchange_Rate</f>
        <v>3.5002055229323656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3743764.4660785138</v>
      </c>
      <c r="D97" s="208"/>
      <c r="E97" s="121">
        <f>PV(C94,D93,0,-F93)</f>
        <v>2.0891064115281042</v>
      </c>
      <c r="F97" s="208"/>
      <c r="H97" s="121">
        <f>PV(C94,D93,0,-I93)</f>
        <v>2.0891064115281042</v>
      </c>
      <c r="I97" s="121">
        <f>PV(C93,D93,0,-I93)</f>
        <v>2.7784386803130015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(E65-IF(E70&lt;0,MIN(E65,ABS(E70)),0))*Exchange_Rate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3743764.4660785138</v>
      </c>
      <c r="D100" s="108">
        <f>MIN(F100*(1-C94),E100)</f>
        <v>1.7757404497988885</v>
      </c>
      <c r="E100" s="108">
        <f>MAX(E97+H98+E99,0)</f>
        <v>2.0891064115281042</v>
      </c>
      <c r="F100" s="108">
        <f>(E100+H100)/2</f>
        <v>2.0891064115281042</v>
      </c>
      <c r="H100" s="108">
        <f>MAX(C100*Data!$C$4/Common_Shares,0)</f>
        <v>2.0891064115281042</v>
      </c>
      <c r="I100" s="108">
        <f>MAX(I97+H98+H99,0)</f>
        <v>2.7784386803130015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3118547.0442620562</v>
      </c>
      <c r="D103" s="108">
        <f>MIN(F103*(1-C94),E103)</f>
        <v>1.4791876415498735</v>
      </c>
      <c r="E103" s="121">
        <f>PV(C94,D93,0,-F94)</f>
        <v>1.7402207547645572</v>
      </c>
      <c r="F103" s="108">
        <f>(E103+H103)/2</f>
        <v>1.7402207547645572</v>
      </c>
      <c r="H103" s="121">
        <f>PV(C94,D93,0,-I94)</f>
        <v>1.7402207547645572</v>
      </c>
      <c r="I103" s="108">
        <f>PV(C93,D93,0,-I94)</f>
        <v>2.3144329224400955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3431155.7551702852</v>
      </c>
      <c r="D106" s="108">
        <f>(D100+D103)/2</f>
        <v>1.627464045674381</v>
      </c>
      <c r="E106" s="121">
        <f>(E100+E103)/2</f>
        <v>1.9146635831463308</v>
      </c>
      <c r="F106" s="108">
        <f>(F100+F103)/2</f>
        <v>1.9146635831463308</v>
      </c>
      <c r="H106" s="121">
        <f>(H100+H103)/2</f>
        <v>1.9146635831463308</v>
      </c>
      <c r="I106" s="121">
        <f>(I100+I103)/2</f>
        <v>2.5464358013765485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2024-12-18T02:18:21Z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