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E95D0CF-85CE-4BB5-8035-ED6F22A574C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2" i="4"/>
  <c r="F91" i="4"/>
  <c r="F97" i="4" s="1"/>
  <c r="E91" i="4"/>
  <c r="E93" i="4" s="1"/>
  <c r="C78" i="4"/>
  <c r="D71" i="4"/>
  <c r="D69" i="4"/>
  <c r="D68" i="4"/>
  <c r="C68" i="4"/>
  <c r="D67" i="4"/>
  <c r="C65" i="4"/>
  <c r="D63" i="4"/>
  <c r="D62" i="4"/>
  <c r="D61" i="4"/>
  <c r="D60" i="4"/>
  <c r="D59" i="4"/>
  <c r="D58" i="4"/>
  <c r="D56" i="4"/>
  <c r="D55" i="4"/>
  <c r="D53" i="4"/>
  <c r="D50" i="4"/>
  <c r="C50" i="4"/>
  <c r="C48" i="4"/>
  <c r="D44" i="4"/>
  <c r="C44" i="4"/>
  <c r="B47" i="4"/>
  <c r="C49" i="3"/>
  <c r="F56" i="2"/>
  <c r="J56" i="2"/>
  <c r="C56" i="2"/>
  <c r="D4" i="3"/>
  <c r="D3" i="3"/>
  <c r="I49" i="3"/>
  <c r="C34" i="2"/>
  <c r="C30" i="2"/>
  <c r="E34" i="2"/>
  <c r="E56" i="2" s="1"/>
  <c r="F34" i="2"/>
  <c r="G34" i="2"/>
  <c r="G56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2" i="4"/>
  <c r="F96" i="4"/>
  <c r="I3" i="3"/>
  <c r="H56" i="2"/>
  <c r="F27" i="2"/>
  <c r="M56" i="2"/>
  <c r="E27" i="2"/>
  <c r="L56" i="2"/>
  <c r="D56" i="2"/>
  <c r="G27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<sst xmlns="http://schemas.openxmlformats.org/spreadsheetml/2006/main" count="392" uniqueCount="276">
  <si>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</si>
  <si>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</si>
  <si>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</si>
  <si>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</si>
  <si>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</si>
  <si>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</si>
  <si>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</si>
  <si>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</si>
  <si>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</si>
  <si>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</si>
  <si>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</si>
  <si>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</si>
  <si>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</si>
  <si>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</si>
  <si>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</si>
  <si>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</si>
  <si>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</si>
  <si>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</si>
  <si>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</si>
  <si>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</si>
  <si>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</si>
  <si>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</si>
  <si>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</si>
  <si>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</si>
  <si>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</si>
  <si>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</si>
  <si>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</si>
  <si>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</si>
  <si>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</si>
  <si>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</si>
  <si>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</si>
  <si>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</si>
  <si>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</si>
  <si>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</si>
  <si>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</si>
  <si>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</si>
  <si>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</si>
  <si>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</si>
  <si>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</si>
  <si>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</si>
  <si>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</si>
  <si>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</si>
  <si>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</si>
  <si>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</si>
  <si>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</si>
  <si>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</si>
  <si>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</si>
  <si>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</si>
  <si>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</si>
  <si>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</si>
  <si>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</si>
  <si>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</si>
  <si>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</si>
  <si>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</si>
  <si>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</si>
  <si>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</si>
  <si>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</si>
  <si>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</si>
  <si>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</si>
  <si>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</si>
  <si>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</si>
  <si>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</si>
  <si>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</si>
  <si>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</si>
  <si>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</si>
  <si>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</si>
  <si>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</si>
  <si>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</si>
  <si>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</si>
  <si>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</si>
  <si>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</si>
  <si>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</si>
  <si>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</si>
  <si>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</si>
  <si>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</si>
  <si>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</si>
  <si>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</si>
  <si>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</si>
  <si>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</si>
  <si>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</si>
  <si>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</si>
  <si>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</si>
  <si>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</si>
  <si>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</si>
  <si>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</si>
  <si>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</si>
  <si>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</si>
  <si>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</si>
  <si>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</si>
  <si>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</si>
  <si>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</si>
  <si>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</si>
  <si>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</si>
  <si>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</si>
  <si>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</si>
  <si>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</si>
  <si>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</si>
  <si>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</si>
  <si>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</si>
  <si>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</si>
  <si>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</si>
  <si>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</si>
  <si>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</si>
  <si>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</si>
  <si>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</si>
  <si>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</si>
  <si>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</si>
  <si>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</si>
  <si>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</si>
  <si>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</si>
  <si>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</si>
  <si>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</si>
  <si>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</si>
  <si>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</si>
  <si>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</si>
  <si>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</si>
  <si>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</si>
  <si>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</si>
  <si>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</si>
  <si>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</si>
  <si>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</si>
  <si>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</si>
  <si>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</si>
  <si>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</si>
  <si>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</si>
  <si>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</si>
  <si>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</si>
  <si>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</si>
  <si>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</si>
  <si>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</si>
  <si>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</si>
  <si>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</si>
  <si>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</si>
  <si>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</si>
  <si>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</si>
  <si>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</si>
  <si>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</si>
  <si>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</si>
  <si>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</si>
  <si>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</si>
  <si>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</si>
  <si>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</si>
  <si>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</si>
  <si>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</si>
  <si>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</si>
  <si>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</si>
  <si>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</si>
  <si>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</si>
  <si>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</si>
  <si>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</si>
  <si>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</si>
  <si>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</si>
  <si>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</si>
  <si>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</si>
  <si>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</si>
  <si>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</si>
  <si>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</si>
  <si>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</si>
  <si>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</si>
  <si>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</si>
  <si>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</si>
  <si>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</si>
  <si>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</si>
  <si>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</si>
  <si>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</si>
  <si>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</si>
  <si>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</si>
  <si>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</si>
  <si>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</si>
  <si>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</si>
  <si>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</si>
  <si>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</si>
  <si>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</si>
  <si>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</si>
  <si>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</si>
  <si>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</si>
  <si>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</si>
  <si>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</si>
  <si>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</si>
  <si>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</si>
  <si>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</si>
  <si>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</si>
  <si>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</si>
  <si>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</si>
  <si>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</si>
  <si>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</si>
  <si>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</si>
  <si>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</si>
  <si>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</si>
  <si>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</si>
  <si>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</si>
  <si>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</si>
  <si>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</si>
  <si>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</si>
  <si>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</si>
  <si>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</si>
  <si>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</si>
  <si>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</si>
  <si>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</si>
  <si>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</si>
  <si>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</si>
  <si>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</si>
  <si>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</si>
  <si>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</si>
  <si>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</si>
  <si>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</si>
  <si>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</si>
  <si>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</si>
  <si>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</si>
  <si>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</si>
  <si>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</si>
  <si>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</si>
  <si>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</si>
  <si>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</si>
  <si>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</si>
  <si>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</si>
  <si>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</si>
  <si>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</si>
  <si>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</si>
  <si>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</si>
  <si>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</si>
  <si>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</si>
  <si>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</si>
  <si>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</si>
  <si>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</si>
  <si>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</si>
  <si>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</si>
  <si>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</si>
  <si>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</si>
  <si>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</si>
  <si>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</si>
  <si>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</si>
  <si>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</si>
  <si>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</si>
  <si>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</si>
  <si>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</si>
  <si>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</si>
  <si>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</si>
  <si>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</si>
  <si>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</si>
  <si>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</si>
  <si>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</si>
  <si>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</si>
  <si>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</si>
  <si>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</si>
  <si>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</si>
  <si>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</si>
  <si>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</si>
  <si>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</si>
  <si>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</si>
  <si>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</si>
  <si>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</si>
  <si>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</si>
  <si>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</si>
  <si>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</si>
  <si>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</si>
  <si>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</si>
  <si>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</si>
  <si>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</si>
  <si>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</si>
  <si>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</si>
  <si>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</si>
  <si>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</si>
  <si>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</si>
  <si>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</si>
  <si>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</si>
  <si>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</si>
  <si>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</si>
  <si>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</si>
  <si>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</si>
  <si>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</si>
  <si>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0697.HK</t>
  </si>
  <si>
    <t>首程控股</t>
  </si>
  <si>
    <t>Tier 3</t>
  </si>
  <si>
    <t>C0008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</si>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</sst>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271</v>
      </c>
    </row>
    <row r="5" spans="1:5" ht="13.9" x14ac:dyDescent="0.4">
      <c r="B5" s="139" t="s">
        <v>181</v>
      </c>
      <c r="C5" s="188" t="s">
        <v>272</v>
      </c>
    </row>
    <row r="6" spans="1:5" ht="13.9" x14ac:dyDescent="0.4">
      <c r="B6" s="139" t="s">
        <v>155</v>
      </c>
      <c r="C6" s="186">
        <v>45639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273</v>
      </c>
      <c r="E8" s="262"/>
    </row>
    <row r="9" spans="1:5" ht="13.9" x14ac:dyDescent="0.4">
      <c r="B9" s="138" t="s">
        <v>202</v>
      </c>
      <c r="C9" s="189" t="s">
        <v>274</v>
      </c>
    </row>
    <row r="10" spans="1:5" ht="13.9" x14ac:dyDescent="0.4">
      <c r="B10" s="138" t="s">
        <v>203</v>
      </c>
      <c r="C10" s="190">
        <v>7286015440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237</v>
      </c>
      <c r="C15" s="173" t="s">
        <v>242</v>
      </c>
    </row>
    <row r="16" spans="1:5" ht="13.9" x14ac:dyDescent="0.4">
      <c r="B16" s="217" t="s">
        <v>93</v>
      </c>
      <c r="C16" s="218">
        <v>0.25</v>
      </c>
      <c r="D16" s="24"/>
      <c r="E16" s="109" t="s">
        <v>270</v>
      </c>
    </row>
    <row r="17" spans="2:13" ht="13.9" x14ac:dyDescent="0.4">
      <c r="B17" s="235" t="s">
        <v>209</v>
      </c>
      <c r="C17" s="237" t="s">
        <v>228</v>
      </c>
      <c r="D17" s="24"/>
    </row>
    <row r="18" spans="2:13" ht="13.9" x14ac:dyDescent="0.4">
      <c r="B18" s="235" t="s">
        <v>223</v>
      </c>
      <c r="C18" s="237" t="s">
        <v>228</v>
      </c>
      <c r="D18" s="24"/>
    </row>
    <row r="19" spans="2:13" ht="13.9" x14ac:dyDescent="0.4">
      <c r="B19" s="235" t="s">
        <v>224</v>
      </c>
      <c r="C19" s="237" t="s">
        <v>228</v>
      </c>
      <c r="D19" s="24"/>
    </row>
    <row r="20" spans="2:13" ht="13.9" x14ac:dyDescent="0.4">
      <c r="B20" s="236" t="s">
        <v>213</v>
      </c>
      <c r="C20" s="237" t="s">
        <v>228</v>
      </c>
      <c r="D20" s="24"/>
    </row>
    <row r="21" spans="2:13" ht="13.9" x14ac:dyDescent="0.4">
      <c r="B21" s="219" t="s">
        <v>216</v>
      </c>
      <c r="C21" s="237" t="s">
        <v>228</v>
      </c>
      <c r="D21" s="24"/>
    </row>
    <row r="22" spans="2:13" ht="78.75" x14ac:dyDescent="0.4">
      <c r="B22" s="221" t="s">
        <v>215</v>
      </c>
      <c r="C22" s="238" t="s">
        <v>240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883478</v>
      </c>
      <c r="D25" s="147">
        <v>1599809</v>
      </c>
      <c r="E25" s="147">
        <v>1195031</v>
      </c>
      <c r="F25" s="147">
        <v>705854</v>
      </c>
      <c r="G25" s="147">
        <v>396091</v>
      </c>
      <c r="H25" s="147">
        <v>1676296</v>
      </c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523759</v>
      </c>
      <c r="D26" s="148">
        <v>535391</v>
      </c>
      <c r="E26" s="148">
        <v>647828</v>
      </c>
      <c r="F26" s="148">
        <v>531460</v>
      </c>
      <c r="G26" s="148">
        <v>193695</v>
      </c>
      <c r="H26" s="148">
        <v>1515759</v>
      </c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299979</v>
      </c>
      <c r="D27" s="148">
        <v>378568</v>
      </c>
      <c r="E27" s="148">
        <v>343154</v>
      </c>
      <c r="F27" s="148">
        <v>250972</v>
      </c>
      <c r="G27" s="148">
        <v>231174</v>
      </c>
      <c r="H27" s="148">
        <v>164177</v>
      </c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105689</v>
      </c>
      <c r="D29" s="148">
        <v>102356</v>
      </c>
      <c r="E29" s="148">
        <v>74343</v>
      </c>
      <c r="F29" s="148">
        <v>77168</v>
      </c>
      <c r="G29" s="148">
        <v>27358</v>
      </c>
      <c r="H29" s="148">
        <v>5699</v>
      </c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55980</v>
      </c>
      <c r="D30" s="148">
        <v>-7663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262</v>
      </c>
      <c r="C34" s="212"/>
      <c r="D34" s="148"/>
      <c r="E34" s="148">
        <v>6479593</v>
      </c>
      <c r="F34" s="148">
        <v>4814457</v>
      </c>
      <c r="G34" s="148">
        <v>3809545</v>
      </c>
      <c r="H34" s="148">
        <v>3366187</v>
      </c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261</v>
      </c>
      <c r="C37" s="148">
        <v>4197215</v>
      </c>
      <c r="D37" s="148"/>
      <c r="E37" s="148">
        <v>1972480</v>
      </c>
      <c r="F37" s="148">
        <v>699855</v>
      </c>
      <c r="G37" s="148">
        <v>289962</v>
      </c>
      <c r="H37" s="148">
        <v>404157</v>
      </c>
      <c r="I37" s="148"/>
      <c r="J37" s="148"/>
      <c r="K37" s="148"/>
      <c r="L37" s="148"/>
      <c r="M37" s="148"/>
    </row>
    <row r="38" spans="2:13" ht="13.9" x14ac:dyDescent="0.4">
      <c r="B38" s="93" t="s">
        <v>267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>
        <v>672819</v>
      </c>
      <c r="F39" s="148">
        <v>128928</v>
      </c>
      <c r="G39" s="148">
        <v>79063</v>
      </c>
      <c r="H39" s="148">
        <v>103143</v>
      </c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>
        <v>1954184</v>
      </c>
      <c r="F40" s="148">
        <v>1488416</v>
      </c>
      <c r="G40" s="148">
        <v>848368</v>
      </c>
      <c r="H40" s="148">
        <v>0</v>
      </c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10154883</v>
      </c>
      <c r="D41" s="148"/>
      <c r="E41" s="148">
        <v>10746578</v>
      </c>
      <c r="F41" s="148">
        <v>11919298</v>
      </c>
      <c r="G41" s="148">
        <v>9822624</v>
      </c>
      <c r="H41" s="148">
        <v>8995456</v>
      </c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99525</v>
      </c>
      <c r="D42" s="148"/>
      <c r="E42" s="148">
        <v>100450</v>
      </c>
      <c r="F42" s="148">
        <v>147008</v>
      </c>
      <c r="G42" s="148">
        <v>138319</v>
      </c>
      <c r="H42" s="148">
        <v>29199</v>
      </c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0.022+0.0328</f>
        <v>5.4800000000000001E-2</v>
      </c>
      <c r="D44" s="245">
        <f>0.054+0.0412</f>
        <v>9.5200000000000007E-2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5.5353535353535356E-2</v>
      </c>
      <c r="D45" s="150">
        <f>IF(D44="","",D44*Exchange_Rate/Dashboard!$G$3)</f>
        <v>9.616161616161617E-2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>
        <f>1315701+2706917</f>
        <v>4022618</v>
      </c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>
        <f>254913+394199</f>
        <v>649112</v>
      </c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>
        <v>171402</v>
      </c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244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>
        <v>4626423</v>
      </c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243</v>
      </c>
      <c r="C64" s="59">
        <v>103165</v>
      </c>
      <c r="D64" s="60">
        <v>0.4</v>
      </c>
      <c r="E64" s="111"/>
    </row>
    <row r="65" spans="2:5" ht="13.9" x14ac:dyDescent="0.4">
      <c r="B65" s="3" t="s">
        <v>66</v>
      </c>
      <c r="C65" s="59">
        <f>237097+544099</f>
        <v>781196</v>
      </c>
      <c r="D65" s="60">
        <v>0.1</v>
      </c>
      <c r="E65" s="216" t="s">
        <v>67</v>
      </c>
    </row>
    <row r="66" spans="2:5" ht="13.9" x14ac:dyDescent="0.4">
      <c r="B66" s="3" t="s">
        <v>68</v>
      </c>
      <c r="C66" s="59">
        <v>875642</v>
      </c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>
        <f>113151+2268116+164542</f>
        <v>2545809</v>
      </c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>
        <v>23095</v>
      </c>
      <c r="D71" s="60">
        <f>D58</f>
        <v>0.9</v>
      </c>
      <c r="E71" s="111"/>
    </row>
    <row r="72" spans="2:5" ht="14.25" thickBot="1" x14ac:dyDescent="0.45">
      <c r="B72" s="241" t="s">
        <v>72</v>
      </c>
      <c r="C72" s="242">
        <v>553636</v>
      </c>
      <c r="D72" s="243">
        <v>0</v>
      </c>
      <c r="E72" s="244"/>
    </row>
    <row r="73" spans="2:5" ht="13.9" x14ac:dyDescent="0.4">
      <c r="B73" s="3" t="s">
        <v>35</v>
      </c>
      <c r="C73" s="59">
        <v>30697</v>
      </c>
    </row>
    <row r="74" spans="2:5" ht="13.9" x14ac:dyDescent="0.4">
      <c r="B74" s="3" t="s">
        <v>36</v>
      </c>
      <c r="C74" s="59">
        <v>143877</v>
      </c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>
        <v>222396</v>
      </c>
    </row>
    <row r="77" spans="2:5" ht="14.25" thickBot="1" x14ac:dyDescent="0.45">
      <c r="B77" s="80" t="s">
        <v>16</v>
      </c>
      <c r="C77" s="82">
        <v>1241245</v>
      </c>
    </row>
    <row r="78" spans="2:5" ht="14.25" thickTop="1" x14ac:dyDescent="0.4">
      <c r="B78" s="3" t="s">
        <v>58</v>
      </c>
      <c r="C78" s="59">
        <f>361148+714395</f>
        <v>1075543</v>
      </c>
    </row>
    <row r="79" spans="2:5" ht="13.9" x14ac:dyDescent="0.4">
      <c r="B79" s="3" t="s">
        <v>60</v>
      </c>
      <c r="C79" s="59">
        <v>1679438</v>
      </c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>
        <v>89231</v>
      </c>
    </row>
    <row r="82" spans="2:8" ht="14.25" hidden="1" thickBot="1" x14ac:dyDescent="0.45">
      <c r="B82" s="80" t="s">
        <v>265</v>
      </c>
      <c r="C82" s="212">
        <v>2955970</v>
      </c>
    </row>
    <row r="83" spans="2:8" ht="14.25" hidden="1" thickTop="1" x14ac:dyDescent="0.4">
      <c r="B83" s="73" t="s">
        <v>266</v>
      </c>
      <c r="C83" s="212">
        <v>10055358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233</v>
      </c>
      <c r="D87" s="264">
        <v>0.02</v>
      </c>
    </row>
    <row r="89" spans="2:8" ht="13.5" x14ac:dyDescent="0.35">
      <c r="B89" s="105" t="s">
        <v>122</v>
      </c>
      <c r="C89" s="284">
        <f>C24</f>
        <v>45291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883478</v>
      </c>
      <c r="D91" s="204"/>
      <c r="E91" s="246">
        <f>C91</f>
        <v>883478</v>
      </c>
      <c r="F91" s="246">
        <f>C91</f>
        <v>883478</v>
      </c>
    </row>
    <row r="92" spans="2:8" ht="13.9" x14ac:dyDescent="0.4">
      <c r="B92" s="103" t="s">
        <v>102</v>
      </c>
      <c r="C92" s="77">
        <f>C26</f>
        <v>523759</v>
      </c>
      <c r="D92" s="156">
        <f>C92/C91</f>
        <v>0.59283762583788169</v>
      </c>
      <c r="E92" s="247">
        <f>E91*D92</f>
        <v>523759.00000000006</v>
      </c>
      <c r="F92" s="247">
        <f>F91*D92</f>
        <v>523759.00000000006</v>
      </c>
    </row>
    <row r="93" spans="2:8" ht="13.9" x14ac:dyDescent="0.4">
      <c r="B93" s="103" t="s">
        <v>230</v>
      </c>
      <c r="C93" s="77">
        <f>C27+C28</f>
        <v>299979</v>
      </c>
      <c r="D93" s="156">
        <f>C93/C91</f>
        <v>0.33954325970765542</v>
      </c>
      <c r="E93" s="247">
        <f>E91*D93</f>
        <v>299979</v>
      </c>
      <c r="F93" s="247">
        <f>F91*D93</f>
        <v>299979</v>
      </c>
    </row>
    <row r="94" spans="2:8" ht="13.9" x14ac:dyDescent="0.4">
      <c r="B94" s="103" t="s">
        <v>238</v>
      </c>
      <c r="C94" s="77">
        <f>C29</f>
        <v>105689</v>
      </c>
      <c r="D94" s="156">
        <f>C94/C91</f>
        <v>0.11962833256742103</v>
      </c>
      <c r="E94" s="248"/>
      <c r="F94" s="247">
        <f>F91*D94</f>
        <v>105689</v>
      </c>
    </row>
    <row r="95" spans="2:8" ht="13.9" x14ac:dyDescent="0.4">
      <c r="B95" s="28" t="s">
        <v>229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74640</v>
      </c>
      <c r="D97" s="156">
        <f>C97/C91</f>
        <v>8.4484276914648701E-2</v>
      </c>
      <c r="E97" s="248"/>
      <c r="F97" s="247">
        <f>F91*D97</f>
        <v>74640</v>
      </c>
    </row>
    <row r="98" spans="2:7" ht="13.9" x14ac:dyDescent="0.4">
      <c r="B98" s="85" t="s">
        <v>193</v>
      </c>
      <c r="C98" s="232">
        <f>C44</f>
        <v>5.4800000000000001E-2</v>
      </c>
      <c r="D98" s="261"/>
      <c r="E98" s="249">
        <f>F98</f>
        <v>5.4800000000000001E-2</v>
      </c>
      <c r="F98" s="249">
        <f>C98</f>
        <v>5.4800000000000001E-2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0697.HK : 首程控股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0697.HK</v>
      </c>
      <c r="D3" s="291"/>
      <c r="E3" s="86"/>
      <c r="F3" s="3" t="s">
        <v>1</v>
      </c>
      <c r="G3" s="130">
        <v>0.99</v>
      </c>
      <c r="H3" s="132" t="s">
        <v>275</v>
      </c>
    </row>
    <row r="4" spans="1:10" ht="15.75" customHeight="1" x14ac:dyDescent="0.4">
      <c r="B4" s="35" t="s">
        <v>181</v>
      </c>
      <c r="C4" s="292" t="str">
        <f>Inputs!C5</f>
        <v>首程控股</v>
      </c>
      <c r="D4" s="293"/>
      <c r="E4" s="86"/>
      <c r="F4" s="3" t="s">
        <v>3</v>
      </c>
      <c r="G4" s="296">
        <f>Inputs!C10</f>
        <v>7286015440</v>
      </c>
      <c r="H4" s="296"/>
      <c r="I4" s="39"/>
    </row>
    <row r="5" spans="1:10" ht="15.75" customHeight="1" x14ac:dyDescent="0.4">
      <c r="B5" s="3" t="s">
        <v>155</v>
      </c>
      <c r="C5" s="294">
        <f>Inputs!C6</f>
        <v>45639</v>
      </c>
      <c r="D5" s="295"/>
      <c r="E5" s="34"/>
      <c r="F5" s="35" t="s">
        <v>96</v>
      </c>
      <c r="G5" s="288">
        <f>G3*G4/1000000</f>
        <v>7213.1552856000008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>Tier 3</v>
      </c>
      <c r="D7" s="184" t="str">
        <f>Inputs!C9</f>
        <v>C0008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CN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260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251</v>
      </c>
      <c r="C20" s="271">
        <f>C21*C22*C23</f>
        <v>-1.4817970677921169E-3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256</v>
      </c>
      <c r="C21" s="283">
        <f>Data!C13</f>
        <v>-1.6865162460185767E-2</v>
      </c>
      <c r="F21" s="86"/>
      <c r="G21" s="29"/>
    </row>
    <row r="22" spans="1:8" ht="15.75" customHeight="1" x14ac:dyDescent="0.4">
      <c r="B22" s="273" t="s">
        <v>263</v>
      </c>
      <c r="C22" s="274">
        <f>Data!C48</f>
        <v>6.155741132759824E-2</v>
      </c>
      <c r="F22" s="140" t="s">
        <v>171</v>
      </c>
    </row>
    <row r="23" spans="1:8" ht="15.75" customHeight="1" thickBot="1" x14ac:dyDescent="0.45">
      <c r="B23" s="275" t="s">
        <v>269</v>
      </c>
      <c r="C23" s="282">
        <f>1/Data!C53</f>
        <v>1.4273085055748389</v>
      </c>
      <c r="F23" s="138" t="s">
        <v>175</v>
      </c>
      <c r="G23" s="174">
        <f>G3/(Data!C34*Data!C4/Common_Shares*Exchange_Rate)</f>
        <v>0.71031397265729213</v>
      </c>
    </row>
    <row r="24" spans="1:8" ht="15.75" customHeight="1" x14ac:dyDescent="0.4">
      <c r="B24" s="280" t="s">
        <v>257</v>
      </c>
      <c r="C24" s="281">
        <f>Fin_Analysis!I81</f>
        <v>0.11962833256742103</v>
      </c>
      <c r="F24" s="138" t="s">
        <v>241</v>
      </c>
      <c r="G24" s="263">
        <f>G3/(Fin_Analysis!H86*G7)</f>
        <v>-79.754707152393635</v>
      </c>
    </row>
    <row r="25" spans="1:8" ht="15.75" customHeight="1" x14ac:dyDescent="0.4">
      <c r="B25" s="135" t="s">
        <v>258</v>
      </c>
      <c r="C25" s="168">
        <f>Fin_Analysis!I80</f>
        <v>0</v>
      </c>
      <c r="F25" s="138" t="s">
        <v>162</v>
      </c>
      <c r="G25" s="168">
        <f>Fin_Analysis!I88</f>
        <v>-4.41470500197088</v>
      </c>
    </row>
    <row r="26" spans="1:8" ht="15.75" customHeight="1" x14ac:dyDescent="0.4">
      <c r="B26" s="136" t="s">
        <v>259</v>
      </c>
      <c r="C26" s="168">
        <f>Fin_Analysis!I80+Fin_Analysis!I82</f>
        <v>0</v>
      </c>
      <c r="F26" s="139" t="s">
        <v>179</v>
      </c>
      <c r="G26" s="175">
        <f>Fin_Analysis!H88*Exchange_Rate/G3</f>
        <v>5.5353535353535356E-2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239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0.21419618595443285</v>
      </c>
      <c r="D29" s="127">
        <f>G29*(1+G20)</f>
        <v>0.28953315871536028</v>
      </c>
      <c r="E29" s="86"/>
      <c r="F29" s="129">
        <f>IF(Fin_Analysis!C108="Profit",Fin_Analysis!F100,IF(Fin_Analysis!C108="Dividend",Fin_Analysis!F103,Fin_Analysis!F106))</f>
        <v>0.25199551288756805</v>
      </c>
      <c r="G29" s="287">
        <f>IF(Fin_Analysis!C108="Profit",Fin_Analysis!I100,IF(Fin_Analysis!C108="Dividend",Fin_Analysis!I103,Fin_Analysis!I106))</f>
        <v>0.25176796410031332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unclear</v>
      </c>
    </row>
    <row r="34" spans="1:3" ht="15.75" customHeight="1" x14ac:dyDescent="0.4">
      <c r="A34"/>
      <c r="B34" s="19" t="s">
        <v>210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unclear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unclear</v>
      </c>
    </row>
    <row r="40" spans="1:3" ht="15.75" customHeight="1" x14ac:dyDescent="0.4">
      <c r="A40"/>
      <c r="B40" s="1" t="s">
        <v>216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>
        <f>H14</f>
        <v>-3640</v>
      </c>
      <c r="G3" s="84">
        <f>C14</f>
        <v>-14900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>
        <f>(G3/F3)^(1/H3)-1</f>
        <v>0.26477754785418428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883478</v>
      </c>
      <c r="D6" s="197">
        <f>IF(Inputs!D25="","",Inputs!D25)</f>
        <v>1599809</v>
      </c>
      <c r="E6" s="197">
        <f>IF(Inputs!E25="","",Inputs!E25)</f>
        <v>1195031</v>
      </c>
      <c r="F6" s="197">
        <f>IF(Inputs!F25="","",Inputs!F25)</f>
        <v>705854</v>
      </c>
      <c r="G6" s="197">
        <f>IF(Inputs!G25="","",Inputs!G25)</f>
        <v>396091</v>
      </c>
      <c r="H6" s="197">
        <f>IF(Inputs!H25="","",Inputs!H25)</f>
        <v>1676296</v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-0.44776032638896268</v>
      </c>
      <c r="D7" s="91">
        <f t="shared" si="1"/>
        <v>0.33871757301693428</v>
      </c>
      <c r="E7" s="91">
        <f t="shared" si="1"/>
        <v>0.69302858664823042</v>
      </c>
      <c r="F7" s="91">
        <f t="shared" si="1"/>
        <v>0.78205008445029045</v>
      </c>
      <c r="G7" s="91">
        <f t="shared" si="1"/>
        <v>-0.76371058571994443</v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523759</v>
      </c>
      <c r="D8" s="196">
        <f>IF(Inputs!D26="","",Inputs!D26)</f>
        <v>535391</v>
      </c>
      <c r="E8" s="196">
        <f>IF(Inputs!E26="","",Inputs!E26)</f>
        <v>647828</v>
      </c>
      <c r="F8" s="196">
        <f>IF(Inputs!F26="","",Inputs!F26)</f>
        <v>531460</v>
      </c>
      <c r="G8" s="196">
        <f>IF(Inputs!G26="","",Inputs!G26)</f>
        <v>193695</v>
      </c>
      <c r="H8" s="196">
        <f>IF(Inputs!H26="","",Inputs!H26)</f>
        <v>1515759</v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359719</v>
      </c>
      <c r="D9" s="149">
        <f t="shared" si="2"/>
        <v>1064418</v>
      </c>
      <c r="E9" s="149">
        <f t="shared" si="2"/>
        <v>547203</v>
      </c>
      <c r="F9" s="149">
        <f t="shared" si="2"/>
        <v>174394</v>
      </c>
      <c r="G9" s="149">
        <f t="shared" si="2"/>
        <v>202396</v>
      </c>
      <c r="H9" s="149">
        <f t="shared" si="2"/>
        <v>160537</v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299979</v>
      </c>
      <c r="D10" s="196">
        <f>IF(Inputs!D27="","",Inputs!D27)</f>
        <v>378568</v>
      </c>
      <c r="E10" s="196">
        <f>IF(Inputs!E27="","",Inputs!E27)</f>
        <v>343154</v>
      </c>
      <c r="F10" s="196">
        <f>IF(Inputs!F27="","",Inputs!F27)</f>
        <v>250972</v>
      </c>
      <c r="G10" s="196">
        <f>IF(Inputs!G27="","",Inputs!G27)</f>
        <v>231174</v>
      </c>
      <c r="H10" s="196">
        <f>IF(Inputs!H27="","",Inputs!H27)</f>
        <v>164177</v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74640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-1.6865162460185767E-2</v>
      </c>
      <c r="D13" s="224">
        <f t="shared" si="3"/>
        <v>0.42870742694909203</v>
      </c>
      <c r="E13" s="224">
        <f t="shared" si="3"/>
        <v>0.1707478718125304</v>
      </c>
      <c r="F13" s="224">
        <f t="shared" si="3"/>
        <v>-0.10848985767594999</v>
      </c>
      <c r="G13" s="224">
        <f t="shared" si="3"/>
        <v>-7.265502119462447E-2</v>
      </c>
      <c r="H13" s="224">
        <f t="shared" si="3"/>
        <v>-2.1714542061783836E-3</v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-14900</v>
      </c>
      <c r="D14" s="225">
        <f t="shared" ref="D14:M14" si="4">IF(D6="","",D9-D10-MAX(D11,0)-MAX(D12,0))</f>
        <v>685850</v>
      </c>
      <c r="E14" s="225">
        <f t="shared" si="4"/>
        <v>204049</v>
      </c>
      <c r="F14" s="225">
        <f t="shared" si="4"/>
        <v>-76578</v>
      </c>
      <c r="G14" s="225">
        <f t="shared" si="4"/>
        <v>-28778</v>
      </c>
      <c r="H14" s="225">
        <f t="shared" si="4"/>
        <v>-3640</v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 t="str">
        <f>IF(D14="","",IF(ABS(C14+D14)=ABS(C14)+ABS(D14),IF(C14&lt;0,-1,1)*(C14-D14)/D14,"Turn"))</f>
        <v>Turn</v>
      </c>
      <c r="D15" s="227">
        <f t="shared" ref="D15:M15" si="5">IF(E14="","",IF(ABS(D14+E14)=ABS(D14)+ABS(E14),IF(D14&lt;0,-1,1)*(D14-E14)/E14,"Turn"))</f>
        <v>2.3612024562727578</v>
      </c>
      <c r="E15" s="227" t="str">
        <f t="shared" si="5"/>
        <v>Turn</v>
      </c>
      <c r="F15" s="227">
        <f t="shared" si="5"/>
        <v>-1.6609910348182639</v>
      </c>
      <c r="G15" s="227">
        <f t="shared" si="5"/>
        <v>-6.9060439560439564</v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105689</v>
      </c>
      <c r="D17" s="196">
        <f>IF(Inputs!D29="","",Inputs!D29)</f>
        <v>102356</v>
      </c>
      <c r="E17" s="196">
        <f>IF(Inputs!E29="","",Inputs!E29)</f>
        <v>74343</v>
      </c>
      <c r="F17" s="196">
        <f>IF(Inputs!F29="","",Inputs!F29)</f>
        <v>77168</v>
      </c>
      <c r="G17" s="196">
        <f>IF(Inputs!G29="","",Inputs!G29)</f>
        <v>27358</v>
      </c>
      <c r="H17" s="196">
        <f>IF(Inputs!H29="","",Inputs!H29)</f>
        <v>5699</v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>
        <f t="shared" si="7"/>
        <v>0</v>
      </c>
      <c r="H20" s="150">
        <f t="shared" si="7"/>
        <v>0</v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-120589</v>
      </c>
      <c r="D22" s="158">
        <f t="shared" ref="D22:M22" si="8">IF(D6="","",D14-MAX(D16,0)-MAX(D17,0)-ABS(MAX(D21,0)-MAX(D19,0)))</f>
        <v>583494</v>
      </c>
      <c r="E22" s="158">
        <f t="shared" si="8"/>
        <v>129706</v>
      </c>
      <c r="F22" s="158">
        <f t="shared" si="8"/>
        <v>-153746</v>
      </c>
      <c r="G22" s="158">
        <f t="shared" si="8"/>
        <v>-56136</v>
      </c>
      <c r="H22" s="158">
        <f t="shared" si="8"/>
        <v>-9339</v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-0.10237012127070511</v>
      </c>
      <c r="D23" s="151">
        <f t="shared" si="9"/>
        <v>0.27354546699012194</v>
      </c>
      <c r="E23" s="151">
        <f t="shared" si="9"/>
        <v>8.1403327612421764E-2</v>
      </c>
      <c r="F23" s="151">
        <f t="shared" si="9"/>
        <v>-0.16336168669441556</v>
      </c>
      <c r="G23" s="151">
        <f t="shared" si="9"/>
        <v>-0.10629375572785042</v>
      </c>
      <c r="H23" s="151">
        <f t="shared" si="9"/>
        <v>-4.1784088251716877E-3</v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-90441.75</v>
      </c>
      <c r="D24" s="77">
        <f>IF(D6="","",D22*(1-Fin_Analysis!$I$84))</f>
        <v>437620.5</v>
      </c>
      <c r="E24" s="77">
        <f>IF(E6="","",E22*(1-Fin_Analysis!$I$84))</f>
        <v>97279.5</v>
      </c>
      <c r="F24" s="77">
        <f>IF(F6="","",F22*(1-Fin_Analysis!$I$84))</f>
        <v>-115309.5</v>
      </c>
      <c r="G24" s="77">
        <f>IF(G6="","",G22*(1-Fin_Analysis!$I$84))</f>
        <v>-42102</v>
      </c>
      <c r="H24" s="77">
        <f>IF(H6="","",H22*(1-Fin_Analysis!$I$84))</f>
        <v>-7004.25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 t="str">
        <f>IF(D24="","",IF(ABS(C24+D24)=ABS(C24)+ABS(D24),IF(C24&lt;0,-1,1)*(C24-D24)/D24,"Turn"))</f>
        <v>Turn</v>
      </c>
      <c r="D25" s="228">
        <f t="shared" ref="D25:M25" si="10">IF(E24="","",IF(ABS(D24+E24)=ABS(D24)+ABS(E24),IF(D24&lt;0,-1,1)*(D24-E24)/E24,"Turn"))</f>
        <v>3.4985891169259711</v>
      </c>
      <c r="E25" s="228" t="str">
        <f t="shared" si="10"/>
        <v>Turn</v>
      </c>
      <c r="F25" s="228">
        <f t="shared" si="10"/>
        <v>-1.7388128829984324</v>
      </c>
      <c r="G25" s="228">
        <f t="shared" si="10"/>
        <v>-5.0109219402505625</v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14352098</v>
      </c>
      <c r="D27" s="65" t="str">
        <f>IF(D34="","",D34+D30)</f>
        <v/>
      </c>
      <c r="E27" s="65">
        <f t="shared" ref="E27:M27" si="20">IF(E34="","",E34+E30)</f>
        <v>12719058</v>
      </c>
      <c r="F27" s="65">
        <f t="shared" si="20"/>
        <v>12619153</v>
      </c>
      <c r="G27" s="65">
        <f t="shared" si="20"/>
        <v>10112586</v>
      </c>
      <c r="H27" s="65">
        <f t="shared" si="20"/>
        <v>9399613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649112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261</v>
      </c>
      <c r="C30" s="65">
        <f>Inputs!C37</f>
        <v>4197215</v>
      </c>
      <c r="D30" s="196" t="str">
        <f>IF(Inputs!D37="","",Inputs!D37)</f>
        <v/>
      </c>
      <c r="E30" s="196">
        <f>IF(Inputs!E37="","",Inputs!E37)</f>
        <v>1972480</v>
      </c>
      <c r="F30" s="196">
        <f>IF(Inputs!F37="","",Inputs!F37)</f>
        <v>699855</v>
      </c>
      <c r="G30" s="196">
        <f>IF(Inputs!G37="","",Inputs!G37)</f>
        <v>289962</v>
      </c>
      <c r="H30" s="196">
        <f>IF(Inputs!H37="","",Inputs!H37)</f>
        <v>404157</v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396970</v>
      </c>
      <c r="D31" s="196" t="str">
        <f>IF(Inputs!D39="","",Inputs!D39)</f>
        <v/>
      </c>
      <c r="E31" s="196">
        <f>IF(Inputs!E39="","",Inputs!E39)</f>
        <v>672819</v>
      </c>
      <c r="F31" s="196">
        <f>IF(Inputs!F39="","",Inputs!F39)</f>
        <v>128928</v>
      </c>
      <c r="G31" s="196">
        <f>IF(Inputs!G39="","",Inputs!G39)</f>
        <v>79063</v>
      </c>
      <c r="H31" s="196">
        <f>IF(Inputs!H39="","",Inputs!H39)</f>
        <v>103143</v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2844212</v>
      </c>
      <c r="D32" s="196" t="str">
        <f>IF(Inputs!D40="","",Inputs!D40)</f>
        <v/>
      </c>
      <c r="E32" s="196">
        <f>IF(Inputs!E40="","",Inputs!E40)</f>
        <v>1954184</v>
      </c>
      <c r="F32" s="196">
        <f>IF(Inputs!F40="","",Inputs!F40)</f>
        <v>1488416</v>
      </c>
      <c r="G32" s="196">
        <f>IF(Inputs!G40="","",Inputs!G40)</f>
        <v>848368</v>
      </c>
      <c r="H32" s="196">
        <f>IF(Inputs!H40="","",Inputs!H40)</f>
        <v>0</v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3241182</v>
      </c>
      <c r="D33" s="77" t="str">
        <f t="shared" ref="D33" si="22">IF(OR(D31="",D32=""),"",D31+D32)</f>
        <v/>
      </c>
      <c r="E33" s="77">
        <f t="shared" ref="E33" si="23">IF(OR(E31="",E32=""),"",E31+E32)</f>
        <v>2627003</v>
      </c>
      <c r="F33" s="77">
        <f t="shared" ref="F33" si="24">IF(OR(F31="",F32=""),"",F31+F32)</f>
        <v>1617344</v>
      </c>
      <c r="G33" s="77">
        <f t="shared" ref="G33" si="25">IF(OR(G31="",G32=""),"",G31+G32)</f>
        <v>927431</v>
      </c>
      <c r="H33" s="77">
        <f t="shared" ref="H33" si="26">IF(OR(H31="",H32=""),"",H31+H32)</f>
        <v>103143</v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10154883</v>
      </c>
      <c r="D34" s="196" t="str">
        <f>IF(Inputs!D41="","",Inputs!D41)</f>
        <v/>
      </c>
      <c r="E34" s="196">
        <f>IF(Inputs!E41="","",Inputs!E41)</f>
        <v>10746578</v>
      </c>
      <c r="F34" s="196">
        <f>IF(Inputs!F41="","",Inputs!F41)</f>
        <v>11919298</v>
      </c>
      <c r="G34" s="196">
        <f>IF(Inputs!G41="","",Inputs!G41)</f>
        <v>9822624</v>
      </c>
      <c r="H34" s="196">
        <f>IF(Inputs!H41="","",Inputs!H41)</f>
        <v>8995456</v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99525</v>
      </c>
      <c r="D35" s="196" t="str">
        <f>IF(Inputs!D42="","",Inputs!D42)</f>
        <v/>
      </c>
      <c r="E35" s="196">
        <f>IF(Inputs!E42="","",Inputs!E42)</f>
        <v>100450</v>
      </c>
      <c r="F35" s="196">
        <f>IF(Inputs!F42="","",Inputs!F42)</f>
        <v>147008</v>
      </c>
      <c r="G35" s="196">
        <f>IF(Inputs!G42="","",Inputs!G42)</f>
        <v>138319</v>
      </c>
      <c r="H35" s="196">
        <f>IF(Inputs!H42="","",Inputs!H42)</f>
        <v>29199</v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3874817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-3.8453428897416318E-3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0.59283762583788169</v>
      </c>
      <c r="D40" s="154">
        <f t="shared" si="34"/>
        <v>0.33465932495691675</v>
      </c>
      <c r="E40" s="154">
        <f t="shared" si="34"/>
        <v>0.54210141828956737</v>
      </c>
      <c r="F40" s="154">
        <f t="shared" si="34"/>
        <v>0.75293190943169552</v>
      </c>
      <c r="G40" s="154">
        <f t="shared" si="34"/>
        <v>0.48901641289501657</v>
      </c>
      <c r="H40" s="154">
        <f t="shared" si="34"/>
        <v>0.90423111431393977</v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0.33954325970765542</v>
      </c>
      <c r="D41" s="151">
        <f t="shared" si="35"/>
        <v>0.23663324809399122</v>
      </c>
      <c r="E41" s="151">
        <f t="shared" si="35"/>
        <v>0.28715070989790226</v>
      </c>
      <c r="F41" s="151">
        <f t="shared" si="35"/>
        <v>0.35555794824425446</v>
      </c>
      <c r="G41" s="151">
        <f t="shared" si="35"/>
        <v>0.5836386082996079</v>
      </c>
      <c r="H41" s="151">
        <f t="shared" si="35"/>
        <v>9.7940339892238604E-2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0.11962833256742103</v>
      </c>
      <c r="D43" s="151">
        <f t="shared" si="37"/>
        <v>6.3980137628929457E-2</v>
      </c>
      <c r="E43" s="151">
        <f t="shared" si="37"/>
        <v>6.2210101662634694E-2</v>
      </c>
      <c r="F43" s="151">
        <f t="shared" si="37"/>
        <v>0.10932572458327076</v>
      </c>
      <c r="G43" s="151">
        <f t="shared" si="37"/>
        <v>6.9069986442509418E-2</v>
      </c>
      <c r="H43" s="151">
        <f t="shared" si="37"/>
        <v>3.3997575607172003E-3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8.4484276914648701E-2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>
        <f t="shared" si="38"/>
        <v>0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-0.1364934950276068</v>
      </c>
      <c r="D46" s="151">
        <f t="shared" si="40"/>
        <v>0.36472728932016257</v>
      </c>
      <c r="E46" s="151">
        <f t="shared" si="40"/>
        <v>0.1085377701498957</v>
      </c>
      <c r="F46" s="151">
        <f t="shared" si="40"/>
        <v>-0.21781558225922074</v>
      </c>
      <c r="G46" s="151">
        <f t="shared" si="40"/>
        <v>-0.14172500763713389</v>
      </c>
      <c r="H46" s="151">
        <f t="shared" si="40"/>
        <v>-5.5712117668955839E-3</v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247</v>
      </c>
      <c r="C47" s="276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253</v>
      </c>
      <c r="C48" s="267">
        <f t="shared" ref="C48:M48" si="41">IF(C6="","",C6/C27)</f>
        <v>6.155741132759824E-2</v>
      </c>
      <c r="D48" s="267" t="e">
        <f t="shared" si="41"/>
        <v>#VALUE!</v>
      </c>
      <c r="E48" s="267">
        <f t="shared" si="41"/>
        <v>9.3955936044949243E-2</v>
      </c>
      <c r="F48" s="267">
        <f t="shared" si="41"/>
        <v>5.5935132888871385E-2</v>
      </c>
      <c r="G48" s="267">
        <f t="shared" si="41"/>
        <v>3.9168121784081737E-2</v>
      </c>
      <c r="H48" s="267">
        <f t="shared" si="41"/>
        <v>0.17833670386216965</v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254</v>
      </c>
      <c r="C49" s="151">
        <f t="shared" ref="C49:M49" si="42">IF(C28="","",C28/C6)</f>
        <v>0.73472344529235589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255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245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249</v>
      </c>
      <c r="C53" s="154">
        <f t="shared" ref="C53:M53" si="45">IF(C34="","",(C34-C35)/C27)</f>
        <v>0.70061937982864941</v>
      </c>
      <c r="D53" s="154" t="str">
        <f t="shared" si="45"/>
        <v/>
      </c>
      <c r="E53" s="154">
        <f t="shared" si="45"/>
        <v>0.83702173541468239</v>
      </c>
      <c r="F53" s="154">
        <f t="shared" si="45"/>
        <v>0.93289066231307283</v>
      </c>
      <c r="G53" s="154">
        <f t="shared" si="45"/>
        <v>0.95764871616419378</v>
      </c>
      <c r="H53" s="154">
        <f t="shared" si="45"/>
        <v>0.95389639977731</v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>
        <f t="shared" ref="C54:M54" si="46">IF(OR(C22="",C33=""),"",IF(C33&lt;=0,"-",C22/C33))</f>
        <v>-3.7205254132597308E-2</v>
      </c>
      <c r="D54" s="155" t="str">
        <f t="shared" si="46"/>
        <v/>
      </c>
      <c r="E54" s="155">
        <f t="shared" si="46"/>
        <v>4.9374134707878138E-2</v>
      </c>
      <c r="F54" s="155">
        <f t="shared" si="46"/>
        <v>-9.5060791025285904E-2</v>
      </c>
      <c r="G54" s="155">
        <f t="shared" si="46"/>
        <v>-6.0528492146585566E-2</v>
      </c>
      <c r="H54" s="155">
        <f t="shared" si="46"/>
        <v>-9.054419592216631E-2</v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-0.87643980794268139</v>
      </c>
      <c r="D55" s="151">
        <f t="shared" si="47"/>
        <v>0.17541911313569633</v>
      </c>
      <c r="E55" s="151">
        <f t="shared" si="47"/>
        <v>0.57316546651658362</v>
      </c>
      <c r="F55" s="151">
        <f t="shared" si="47"/>
        <v>-0.50191874910566781</v>
      </c>
      <c r="G55" s="151">
        <f t="shared" si="47"/>
        <v>-0.4873521447912213</v>
      </c>
      <c r="H55" s="151">
        <f t="shared" si="47"/>
        <v>-0.61023664203876216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268</v>
      </c>
      <c r="C56" s="151">
        <f>IF(C34="","",IF(Inputs!C38=0,0,Inputs!C38/C27))</f>
        <v>0</v>
      </c>
      <c r="D56" s="151" t="str">
        <f>IF(D34="","",IF(Inputs!D38=0,0,Inputs!D38/D27))</f>
        <v/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>
        <f>IF(H34="","",IF(Inputs!H38=0,0,Inputs!H38/H27))</f>
        <v>0</v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250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251</v>
      </c>
      <c r="C58" s="269">
        <f t="shared" ref="C58:M58" si="49">IF(C14="","",C14/(C34-C35))</f>
        <v>-1.4817970677921163E-3</v>
      </c>
      <c r="D58" s="269" t="e">
        <f t="shared" si="49"/>
        <v>#VALUE!</v>
      </c>
      <c r="E58" s="269">
        <f t="shared" si="49"/>
        <v>1.9166498843523203E-2</v>
      </c>
      <c r="F58" s="269">
        <f t="shared" si="49"/>
        <v>-6.5049365926255643E-3</v>
      </c>
      <c r="G58" s="269">
        <f t="shared" si="49"/>
        <v>-2.9716123149776882E-3</v>
      </c>
      <c r="H58" s="269">
        <f t="shared" si="49"/>
        <v>-4.0596650307926706E-4</v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252</v>
      </c>
      <c r="C59" s="269">
        <f t="shared" ref="C59:M59" si="50">IF(C22="","",C22/(C34-C35))</f>
        <v>-1.19925118528848E-2</v>
      </c>
      <c r="D59" s="269" t="e">
        <f t="shared" si="50"/>
        <v>#VALUE!</v>
      </c>
      <c r="E59" s="269">
        <f t="shared" si="50"/>
        <v>1.2183396630211472E-2</v>
      </c>
      <c r="F59" s="269">
        <f t="shared" si="50"/>
        <v>-1.3059990876881219E-2</v>
      </c>
      <c r="G59" s="269">
        <f t="shared" si="50"/>
        <v>-5.7965956256024569E-3</v>
      </c>
      <c r="H59" s="269">
        <f t="shared" si="50"/>
        <v>-1.0415717506201305E-3</v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10154883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10055358</v>
      </c>
      <c r="K3" s="24"/>
    </row>
    <row r="4" spans="1:11" ht="15" customHeight="1" x14ac:dyDescent="0.4">
      <c r="B4" s="3" t="s">
        <v>23</v>
      </c>
      <c r="C4" s="86"/>
      <c r="D4" s="196">
        <f>Inputs!C42</f>
        <v>99525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>
        <f>C28/I28</f>
        <v>3.901834045655773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2681876.3000000007</v>
      </c>
      <c r="E6" s="56">
        <f>1-D6/D3</f>
        <v>0.73590278686618049</v>
      </c>
      <c r="F6" s="86"/>
      <c r="G6" s="86"/>
      <c r="H6" s="1" t="s">
        <v>26</v>
      </c>
      <c r="I6" s="63">
        <f>(C24+C25)/I28</f>
        <v>3.901834045655773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0.36808545385130298</v>
      </c>
      <c r="E7" s="11" t="str">
        <f>Dashboard!H3</f>
        <v>HKD</v>
      </c>
      <c r="H7" s="1" t="s">
        <v>27</v>
      </c>
      <c r="I7" s="63">
        <f>C24/I28</f>
        <v>3.7637452718842774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4022618</v>
      </c>
      <c r="D11" s="195">
        <f>Inputs!D48</f>
        <v>0.9</v>
      </c>
      <c r="E11" s="87">
        <f t="shared" ref="E11:E22" si="0">C11*D11</f>
        <v>3620356.2</v>
      </c>
      <c r="F11" s="111"/>
      <c r="G11" s="86"/>
      <c r="H11" s="3" t="s">
        <v>35</v>
      </c>
      <c r="I11" s="40">
        <f>Inputs!C73</f>
        <v>30697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143877</v>
      </c>
      <c r="J12" s="86"/>
      <c r="K12" s="24"/>
    </row>
    <row r="13" spans="1:11" ht="13.9" x14ac:dyDescent="0.4">
      <c r="B13" s="3" t="s">
        <v>112</v>
      </c>
      <c r="C13" s="40">
        <f>Inputs!C50</f>
        <v>649112</v>
      </c>
      <c r="D13" s="195">
        <f>Inputs!D50</f>
        <v>0.6</v>
      </c>
      <c r="E13" s="87">
        <f t="shared" si="0"/>
        <v>389467.2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222396</v>
      </c>
      <c r="J14" s="86"/>
      <c r="K14" s="27"/>
    </row>
    <row r="15" spans="1:11" ht="13.9" x14ac:dyDescent="0.4">
      <c r="B15" s="3" t="s">
        <v>40</v>
      </c>
      <c r="C15" s="40">
        <f>Inputs!C52</f>
        <v>171402</v>
      </c>
      <c r="D15" s="195">
        <f>Inputs!D52</f>
        <v>0.5</v>
      </c>
      <c r="E15" s="87">
        <f t="shared" si="0"/>
        <v>85701</v>
      </c>
      <c r="F15" s="111"/>
      <c r="G15" s="86"/>
      <c r="H15" s="1" t="s">
        <v>50</v>
      </c>
      <c r="I15" s="83">
        <f>SUM(I11:I14)</f>
        <v>396970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844275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4671730</v>
      </c>
      <c r="D24" s="62">
        <f>IF(E24=0,0,E24/C24)</f>
        <v>0.85831659791982851</v>
      </c>
      <c r="E24" s="87">
        <f>SUM(E11:E14)</f>
        <v>4009823.4000000004</v>
      </c>
      <c r="F24" s="112">
        <f>E24/$E$28</f>
        <v>0.97907447456545493</v>
      </c>
      <c r="G24" s="86"/>
    </row>
    <row r="25" spans="2:10" ht="15" customHeight="1" x14ac:dyDescent="0.4">
      <c r="B25" s="23" t="s">
        <v>51</v>
      </c>
      <c r="C25" s="61">
        <f>SUM(C15:C17)</f>
        <v>171402</v>
      </c>
      <c r="D25" s="62">
        <f>IF(E25=0,0,E25/C25)</f>
        <v>0.5</v>
      </c>
      <c r="E25" s="87">
        <f>SUM(E15:E17)</f>
        <v>85701</v>
      </c>
      <c r="F25" s="112">
        <f>E25/$E$28</f>
        <v>2.0925525434545084E-2</v>
      </c>
      <c r="G25" s="86"/>
      <c r="H25" s="23" t="s">
        <v>52</v>
      </c>
      <c r="I25" s="63">
        <f>E28/I28</f>
        <v>3.2995294240863009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>
        <f>E26/$E$28</f>
        <v>0</v>
      </c>
      <c r="G26" s="86"/>
      <c r="H26" s="23" t="s">
        <v>54</v>
      </c>
      <c r="I26" s="63">
        <f>E24/($I$28-I22)</f>
        <v>10.10107413658463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56</v>
      </c>
      <c r="I27" s="63">
        <f>(E25+E24)/$I$28</f>
        <v>3.2995294240863009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4843132</v>
      </c>
      <c r="D28" s="57">
        <f>E28/C28</f>
        <v>0.84563551024419747</v>
      </c>
      <c r="E28" s="70">
        <f>SUM(E24:E27)</f>
        <v>4095524.4000000004</v>
      </c>
      <c r="F28" s="111"/>
      <c r="G28" s="86"/>
      <c r="H28" s="78" t="s">
        <v>16</v>
      </c>
      <c r="I28" s="202">
        <f>Inputs!C77</f>
        <v>1241245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1075543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1679438</v>
      </c>
      <c r="J31" s="86"/>
    </row>
    <row r="32" spans="2:10" ht="15" customHeight="1" x14ac:dyDescent="0.4">
      <c r="B32" s="3" t="s">
        <v>61</v>
      </c>
      <c r="C32" s="40">
        <f>Inputs!C62</f>
        <v>4626423</v>
      </c>
      <c r="D32" s="195">
        <f>Inputs!D62</f>
        <v>0.5</v>
      </c>
      <c r="E32" s="87">
        <f t="shared" si="1"/>
        <v>2313211.5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89231</v>
      </c>
      <c r="J33" s="86"/>
    </row>
    <row r="34" spans="2:10" ht="13.9" x14ac:dyDescent="0.4">
      <c r="B34" s="3" t="s">
        <v>64</v>
      </c>
      <c r="C34" s="40">
        <f>Inputs!C64</f>
        <v>103165</v>
      </c>
      <c r="D34" s="195">
        <f>Inputs!D64</f>
        <v>0.4</v>
      </c>
      <c r="E34" s="87">
        <f t="shared" si="1"/>
        <v>41266</v>
      </c>
      <c r="F34" s="111"/>
      <c r="G34" s="86"/>
      <c r="H34" s="1" t="s">
        <v>74</v>
      </c>
      <c r="I34" s="83">
        <f>SUM(I30:I33)</f>
        <v>2844212</v>
      </c>
      <c r="J34" s="86"/>
    </row>
    <row r="35" spans="2:10" ht="13.9" x14ac:dyDescent="0.4">
      <c r="B35" s="3" t="s">
        <v>66</v>
      </c>
      <c r="C35" s="40">
        <f>Inputs!C65</f>
        <v>781196</v>
      </c>
      <c r="D35" s="195">
        <f>Inputs!D65</f>
        <v>0.1</v>
      </c>
      <c r="E35" s="87">
        <f t="shared" si="1"/>
        <v>78119.600000000006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875642</v>
      </c>
      <c r="D36" s="195">
        <f>Inputs!D66</f>
        <v>0.2</v>
      </c>
      <c r="E36" s="87">
        <f t="shared" si="1"/>
        <v>175128.40000000002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2545809</v>
      </c>
      <c r="D38" s="195">
        <f>Inputs!D68</f>
        <v>0.1</v>
      </c>
      <c r="E38" s="87">
        <f t="shared" si="1"/>
        <v>254580.90000000002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23095</v>
      </c>
      <c r="D41" s="195">
        <f>Inputs!D71</f>
        <v>0.9</v>
      </c>
      <c r="E41" s="87">
        <f t="shared" si="1"/>
        <v>20785.5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553636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111758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5510784</v>
      </c>
      <c r="D45" s="62">
        <f>IF(E45=0,0,E45/C45)</f>
        <v>0.4414248680405547</v>
      </c>
      <c r="E45" s="87">
        <f>SUM(E32:E35)</f>
        <v>2432597.1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3421451</v>
      </c>
      <c r="D46" s="62">
        <f>IF(E46=0,0,E46/C46)</f>
        <v>0.12559270905823292</v>
      </c>
      <c r="E46" s="87">
        <f>E36+E37+E38+E39</f>
        <v>429709.30000000005</v>
      </c>
      <c r="F46" s="86"/>
      <c r="G46" s="86"/>
      <c r="H46" s="23" t="s">
        <v>77</v>
      </c>
      <c r="I46" s="63">
        <f>(E44+E24)/E64</f>
        <v>1.2371484847194636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576731</v>
      </c>
      <c r="D47" s="62">
        <f>IF(E47=0,0,E47/C47)</f>
        <v>3.6040198983581601E-2</v>
      </c>
      <c r="E47" s="87">
        <f>E40+E41+E42</f>
        <v>20785.5</v>
      </c>
      <c r="F47" s="86"/>
      <c r="G47" s="86"/>
      <c r="H47" s="23" t="s">
        <v>79</v>
      </c>
      <c r="I47" s="63">
        <f>(E44+E45+E24+E25)/$I$49</f>
        <v>1.5553459853736347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279">
        <f>SUM(C30:C42)</f>
        <v>9508966</v>
      </c>
      <c r="D48" s="81">
        <f>E48/C48</f>
        <v>0.30319720356556118</v>
      </c>
      <c r="E48" s="76">
        <f>SUM(E30:E42)</f>
        <v>2883091.9</v>
      </c>
      <c r="F48" s="86"/>
      <c r="G48" s="86"/>
      <c r="H48" s="80" t="s">
        <v>81</v>
      </c>
      <c r="I48" s="277">
        <f>I49-I28</f>
        <v>2955970</v>
      </c>
      <c r="J48" s="8"/>
    </row>
    <row r="49" spans="2:11" ht="15" customHeight="1" thickTop="1" x14ac:dyDescent="0.4">
      <c r="B49" s="3" t="s">
        <v>14</v>
      </c>
      <c r="C49" s="61">
        <f>Inputs!C41+Inputs!C37</f>
        <v>14352098</v>
      </c>
      <c r="D49" s="56">
        <f>E49/C49</f>
        <v>0.48624363490271599</v>
      </c>
      <c r="E49" s="87">
        <f>E28+E48</f>
        <v>6978616.3000000007</v>
      </c>
      <c r="F49" s="86"/>
      <c r="G49" s="86"/>
      <c r="H49" s="3" t="s">
        <v>82</v>
      </c>
      <c r="I49" s="40">
        <f>Inputs!C37</f>
        <v>4197215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99525</v>
      </c>
      <c r="D53" s="29">
        <f>IF(E53=0, 0,E53/C53)</f>
        <v>1</v>
      </c>
      <c r="E53" s="87">
        <f>IF(C53=0,0,MAX(C53,C53*Dashboard!G23))</f>
        <v>99525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3241182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6454663</v>
      </c>
      <c r="D61" s="56">
        <f t="shared" ref="D61:D70" si="2">IF(E61=0,0,E61/C61)</f>
        <v>0.41089062279471444</v>
      </c>
      <c r="E61" s="52">
        <f>E14+E15+(E19*G19)+(E20*G20)+E31+E32+(E35*G35)+(E36*G36)+(E37*G37)</f>
        <v>2652160.5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4022618</v>
      </c>
      <c r="D62" s="106">
        <f t="shared" si="2"/>
        <v>0.9</v>
      </c>
      <c r="E62" s="116">
        <f>E11+E30</f>
        <v>3620356.2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10477281</v>
      </c>
      <c r="D63" s="29">
        <f t="shared" si="2"/>
        <v>0.59867791080529387</v>
      </c>
      <c r="E63" s="61">
        <f>E61+E62</f>
        <v>6272516.7000000002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3241182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7236099</v>
      </c>
      <c r="D65" s="29">
        <f t="shared" si="2"/>
        <v>0.41891835642381348</v>
      </c>
      <c r="E65" s="61">
        <f>E63-E64</f>
        <v>3031334.7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3874817</v>
      </c>
      <c r="D68" s="29">
        <f t="shared" si="2"/>
        <v>0.18222785747043035</v>
      </c>
      <c r="E68" s="68">
        <f>E49-E63</f>
        <v>706099.60000000056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956033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2918784</v>
      </c>
      <c r="D70" s="29">
        <f t="shared" si="2"/>
        <v>-8.5629289457527333E-2</v>
      </c>
      <c r="E70" s="68">
        <f>E68-E69</f>
        <v>-249933.39999999944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45291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883478</v>
      </c>
      <c r="D74" s="204"/>
      <c r="E74" s="233">
        <f>Inputs!E91</f>
        <v>883478</v>
      </c>
      <c r="F74" s="204"/>
      <c r="H74" s="233">
        <f>Inputs!F91</f>
        <v>883478</v>
      </c>
      <c r="I74" s="204"/>
      <c r="K74" s="24"/>
    </row>
    <row r="75" spans="1:11" ht="15" customHeight="1" x14ac:dyDescent="0.4">
      <c r="B75" s="103" t="s">
        <v>102</v>
      </c>
      <c r="C75" s="77">
        <f>Data!C8</f>
        <v>523759</v>
      </c>
      <c r="D75" s="156">
        <f>C75/$C$74</f>
        <v>0.59283762583788169</v>
      </c>
      <c r="E75" s="233">
        <f>Inputs!E92</f>
        <v>523759.00000000006</v>
      </c>
      <c r="F75" s="157">
        <f>E75/E74</f>
        <v>0.59283762583788169</v>
      </c>
      <c r="H75" s="233">
        <f>Inputs!F92</f>
        <v>523759.00000000006</v>
      </c>
      <c r="I75" s="157">
        <f>H75/$H$74</f>
        <v>0.59283762583788169</v>
      </c>
      <c r="K75" s="24"/>
    </row>
    <row r="76" spans="1:11" ht="15" customHeight="1" x14ac:dyDescent="0.4">
      <c r="B76" s="35" t="s">
        <v>92</v>
      </c>
      <c r="C76" s="158">
        <f>C74-C75</f>
        <v>359719</v>
      </c>
      <c r="D76" s="205"/>
      <c r="E76" s="159">
        <f>E74-E75</f>
        <v>359718.99999999994</v>
      </c>
      <c r="F76" s="205"/>
      <c r="H76" s="159">
        <f>H74-H75</f>
        <v>359718.99999999994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299979</v>
      </c>
      <c r="D77" s="156">
        <f>C77/$C$74</f>
        <v>0.33954325970765542</v>
      </c>
      <c r="E77" s="233">
        <f>Inputs!E93</f>
        <v>299979</v>
      </c>
      <c r="F77" s="157">
        <f>E77/E74</f>
        <v>0.33954325970765542</v>
      </c>
      <c r="H77" s="233">
        <f>Inputs!F93</f>
        <v>299979</v>
      </c>
      <c r="I77" s="157">
        <f>H77/$H$74</f>
        <v>0.33954325970765542</v>
      </c>
      <c r="K77" s="24"/>
    </row>
    <row r="78" spans="1:11" ht="15" customHeight="1" x14ac:dyDescent="0.4">
      <c r="B78" s="73" t="s">
        <v>161</v>
      </c>
      <c r="C78" s="77">
        <f>MAX(Data!C12,0)</f>
        <v>74640</v>
      </c>
      <c r="D78" s="156">
        <f>C78/$C$74</f>
        <v>8.4484276914648701E-2</v>
      </c>
      <c r="E78" s="177">
        <f>E74*F78</f>
        <v>74640</v>
      </c>
      <c r="F78" s="157">
        <f>I78</f>
        <v>8.4484276914648701E-2</v>
      </c>
      <c r="H78" s="233">
        <f>Inputs!F97</f>
        <v>74640</v>
      </c>
      <c r="I78" s="157">
        <f>H78/$H$74</f>
        <v>8.4484276914648701E-2</v>
      </c>
      <c r="K78" s="24"/>
    </row>
    <row r="79" spans="1:11" ht="15" customHeight="1" x14ac:dyDescent="0.4">
      <c r="B79" s="251" t="s">
        <v>217</v>
      </c>
      <c r="C79" s="252">
        <f>C76-C77-C78</f>
        <v>-14900</v>
      </c>
      <c r="D79" s="253">
        <f>C79/C74</f>
        <v>-1.6865162460185767E-2</v>
      </c>
      <c r="E79" s="254">
        <f>E76-E77-E78</f>
        <v>-14900.000000000058</v>
      </c>
      <c r="F79" s="253">
        <f>E79/E74</f>
        <v>-1.6865162460185833E-2</v>
      </c>
      <c r="G79" s="255"/>
      <c r="H79" s="254">
        <f>H76-H77-H78</f>
        <v>-14900.000000000058</v>
      </c>
      <c r="I79" s="253">
        <f>H79/H74</f>
        <v>-1.6865162460185833E-2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105689</v>
      </c>
      <c r="D81" s="156">
        <f>C81/$C$74</f>
        <v>0.11962833256742103</v>
      </c>
      <c r="E81" s="177">
        <f>E74*F81</f>
        <v>105689</v>
      </c>
      <c r="F81" s="157">
        <f>I81</f>
        <v>0.11962833256742103</v>
      </c>
      <c r="H81" s="233">
        <f>Inputs!F94</f>
        <v>105689</v>
      </c>
      <c r="I81" s="157">
        <f>H81/$H$74</f>
        <v>0.11962833256742103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-120589</v>
      </c>
      <c r="D83" s="161">
        <f>C83/$C$74</f>
        <v>-0.1364934950276068</v>
      </c>
      <c r="E83" s="162">
        <f>E79-E81-E82-E80</f>
        <v>-120589.00000000006</v>
      </c>
      <c r="F83" s="161">
        <f>E83/E74</f>
        <v>-0.13649349502760685</v>
      </c>
      <c r="H83" s="162">
        <f>H79-H81-H82-H80</f>
        <v>-120589.00000000006</v>
      </c>
      <c r="I83" s="161">
        <f>H83/$H$74</f>
        <v>-0.13649349502760685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-90441.75</v>
      </c>
      <c r="D85" s="253">
        <f>C85/$C$74</f>
        <v>-0.10237012127070511</v>
      </c>
      <c r="E85" s="259">
        <f>E83*(1-F84)</f>
        <v>-90441.750000000044</v>
      </c>
      <c r="F85" s="253">
        <f>E85/E74</f>
        <v>-0.10237012127070515</v>
      </c>
      <c r="G85" s="255"/>
      <c r="H85" s="259">
        <f>H83*(1-I84)</f>
        <v>-90441.750000000044</v>
      </c>
      <c r="I85" s="253">
        <f>H85/$H$74</f>
        <v>-0.10237012127070515</v>
      </c>
      <c r="K85" s="24"/>
    </row>
    <row r="86" spans="1:11" ht="15" customHeight="1" x14ac:dyDescent="0.4">
      <c r="B86" s="86" t="s">
        <v>152</v>
      </c>
      <c r="C86" s="164">
        <f>C85*Data!C4/Common_Shares</f>
        <v>-1.2413060436775578E-2</v>
      </c>
      <c r="D86" s="204"/>
      <c r="E86" s="165">
        <f>E85*Data!C4/Common_Shares</f>
        <v>-1.2413060436775583E-2</v>
      </c>
      <c r="F86" s="204"/>
      <c r="H86" s="165">
        <f>H85*Data!C4/Common_Shares</f>
        <v>-1.2413060436775583E-2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-1.2538444885631897E-2</v>
      </c>
      <c r="D87" s="204"/>
      <c r="E87" s="257">
        <f>E86*Exchange_Rate/Dashboard!G3</f>
        <v>-1.2538444885631902E-2</v>
      </c>
      <c r="F87" s="204"/>
      <c r="H87" s="257">
        <f>H86*Exchange_Rate/Dashboard!G3</f>
        <v>-1.2538444885631902E-2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5.4800000000000001E-2</v>
      </c>
      <c r="D88" s="163">
        <f>C88/C86</f>
        <v>-4.4147050019708818</v>
      </c>
      <c r="E88" s="167">
        <f>Inputs!E98</f>
        <v>5.4800000000000001E-2</v>
      </c>
      <c r="F88" s="163">
        <f>E88/E86</f>
        <v>-4.41470500197088</v>
      </c>
      <c r="H88" s="167">
        <f>Inputs!F98</f>
        <v>5.4800000000000001E-2</v>
      </c>
      <c r="I88" s="163">
        <f>H88/H86</f>
        <v>-4.41470500197088</v>
      </c>
      <c r="K88" s="24"/>
    </row>
    <row r="89" spans="1:11" ht="15" customHeight="1" x14ac:dyDescent="0.4">
      <c r="B89" s="86" t="s">
        <v>206</v>
      </c>
      <c r="C89" s="256">
        <f>C88*Exchange_Rate/Dashboard!G3</f>
        <v>5.5353535353535356E-2</v>
      </c>
      <c r="D89" s="204"/>
      <c r="E89" s="256">
        <f>E88*Exchange_Rate/Dashboard!G3</f>
        <v>5.5353535353535356E-2</v>
      </c>
      <c r="F89" s="204"/>
      <c r="H89" s="256">
        <f>H88*Exchange_Rate/Dashboard!G3</f>
        <v>5.5353535353535356E-2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CN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195</v>
      </c>
      <c r="F93" s="142">
        <f>FV(E87,D93,0,-(E86/(C93-D94)))*Exchange_Rate</f>
        <v>-0.17591139328021752</v>
      </c>
      <c r="H93" s="86" t="s">
        <v>195</v>
      </c>
      <c r="I93" s="142">
        <f>FV(H87,D93,0,-(H86/(C93-D94)))*Exchange_Rate</f>
        <v>-0.17591139328021752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1.0828904471348488</v>
      </c>
      <c r="H94" s="86" t="s">
        <v>196</v>
      </c>
      <c r="I94" s="142">
        <f>FV(H89,D93,0,-(H88/(C93-D94)))*Exchange_Rate</f>
        <v>1.0828904471348488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-637228.00479046057</v>
      </c>
      <c r="D97" s="208"/>
      <c r="E97" s="121">
        <f>PV(C94,D93,0,-F93)</f>
        <v>-8.7459052212832067E-2</v>
      </c>
      <c r="F97" s="208"/>
      <c r="H97" s="121">
        <f>PV(C94,D93,0,-I93)</f>
        <v>-8.7459052212832067E-2</v>
      </c>
      <c r="I97" s="121">
        <f>PV(C93,D93,0,-I93)</f>
        <v>-0.11631748975098966</v>
      </c>
      <c r="K97" s="24"/>
    </row>
    <row r="98" spans="2:11" ht="15" customHeight="1" x14ac:dyDescent="0.4">
      <c r="B98" s="28" t="s">
        <v>139</v>
      </c>
      <c r="C98" s="90">
        <f>-E53*Exchange_Rate</f>
        <v>-99525</v>
      </c>
      <c r="D98" s="208"/>
      <c r="E98" s="208"/>
      <c r="F98" s="208"/>
      <c r="H98" s="121">
        <f>C98*Data!$C$4/Common_Shares</f>
        <v>-1.365972949406761E-2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2781401.3000000007</v>
      </c>
      <c r="D99" s="209"/>
      <c r="E99" s="143">
        <f>IF(H99&gt;0,H99*(1-C94),H99*(1+C94))</f>
        <v>0.324483405843565</v>
      </c>
      <c r="F99" s="209"/>
      <c r="H99" s="143">
        <f>C99*Data!$C$4/Common_Shares</f>
        <v>0.38174518334537061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2044648.2952095401</v>
      </c>
      <c r="D100" s="108">
        <f>MIN(F100*(1-C94),E100)</f>
        <v>0.21419618595443285</v>
      </c>
      <c r="E100" s="108">
        <f>MAX(E97+H98+E99,0)</f>
        <v>0.2233646241366653</v>
      </c>
      <c r="F100" s="108">
        <f>(E100+H100)/2</f>
        <v>0.25199551288756805</v>
      </c>
      <c r="H100" s="108">
        <f>MAX(C100*Data!$C$4/Common_Shares,0)</f>
        <v>0.28062640163847086</v>
      </c>
      <c r="I100" s="108">
        <f>MAX(I97+H98+H99,0)</f>
        <v>0.25176796410031332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3922702.8230921892</v>
      </c>
      <c r="D103" s="108">
        <f>MIN(F103*(1-C94),E103)</f>
        <v>0.45762974661337813</v>
      </c>
      <c r="E103" s="121">
        <f>PV(C94,D93,0,-F94)</f>
        <v>0.53838793719220956</v>
      </c>
      <c r="F103" s="108">
        <f>(E103+H103)/2</f>
        <v>0.53838793719220956</v>
      </c>
      <c r="H103" s="121">
        <f>PV(C94,D93,0,-I94)</f>
        <v>0.53838793719220956</v>
      </c>
      <c r="I103" s="108">
        <f>PV(C93,D93,0,-I94)</f>
        <v>0.71603718290950158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2775070.4616508647</v>
      </c>
      <c r="D106" s="108">
        <f>(D100+D103)/2</f>
        <v>0.33591296628390549</v>
      </c>
      <c r="E106" s="121">
        <f>(E100+E103)/2</f>
        <v>0.38087628066443746</v>
      </c>
      <c r="F106" s="108">
        <f>(F100+F103)/2</f>
        <v>0.39519172503988881</v>
      </c>
      <c r="H106" s="121">
        <f>(H100+H103)/2</f>
        <v>0.40950716941534021</v>
      </c>
      <c r="I106" s="121">
        <f>(I100+I103)/2</f>
        <v>0.48390257350490745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