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7109A02F-9A96-4A4D-B215-8711467D9B49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5" i="4" l="1"/>
  <c r="F94" i="4"/>
  <c r="F93" i="4"/>
  <c r="F92" i="4"/>
  <c r="F91" i="4"/>
  <c r="F97" i="4" s="1"/>
  <c r="E91" i="4"/>
  <c r="E92" i="4" s="1"/>
  <c r="D69" i="4"/>
  <c r="D68" i="4"/>
  <c r="C68" i="4"/>
  <c r="D67" i="4"/>
  <c r="C65" i="4"/>
  <c r="D62" i="4"/>
  <c r="D63" i="4" s="1"/>
  <c r="D61" i="4"/>
  <c r="D60" i="4"/>
  <c r="D59" i="4"/>
  <c r="D58" i="4"/>
  <c r="D71" i="4" s="1"/>
  <c r="C58" i="4"/>
  <c r="D56" i="4"/>
  <c r="D55" i="4"/>
  <c r="D53" i="4"/>
  <c r="D50" i="4"/>
  <c r="C50" i="4"/>
  <c r="F44" i="4"/>
  <c r="D27" i="4"/>
  <c r="C27" i="4"/>
  <c r="B47" i="4"/>
  <c r="C49" i="3"/>
  <c r="F56" i="2"/>
  <c r="C56" i="2"/>
  <c r="D4" i="3"/>
  <c r="D3" i="3"/>
  <c r="I3" i="3" s="1"/>
  <c r="I49" i="3"/>
  <c r="C34" i="2"/>
  <c r="C30" i="2"/>
  <c r="E34" i="2"/>
  <c r="E27" i="2" s="1"/>
  <c r="F34" i="2"/>
  <c r="F27" i="2" s="1"/>
  <c r="G34" i="2"/>
  <c r="G27" i="2" s="1"/>
  <c r="H34" i="2"/>
  <c r="H27" i="2" s="1"/>
  <c r="I34" i="2"/>
  <c r="I27" i="2" s="1"/>
  <c r="J34" i="2"/>
  <c r="J56" i="2" s="1"/>
  <c r="K34" i="2"/>
  <c r="K27" i="2" s="1"/>
  <c r="L34" i="2"/>
  <c r="L27" i="2" s="1"/>
  <c r="M34" i="2"/>
  <c r="M27" i="2" s="1"/>
  <c r="D34" i="2"/>
  <c r="D27" i="2" s="1"/>
  <c r="D30" i="2"/>
  <c r="J27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L36" i="2"/>
  <c r="L37" i="2" s="1"/>
  <c r="L38" i="2" s="1"/>
  <c r="M36" i="2"/>
  <c r="M37" i="2" s="1"/>
  <c r="M38" i="2" s="1"/>
  <c r="K37" i="2"/>
  <c r="K38" i="2" s="1"/>
  <c r="B7" i="3"/>
  <c r="M51" i="2"/>
  <c r="E93" i="4" l="1"/>
  <c r="E95" i="4"/>
  <c r="F96" i="4"/>
  <c r="M56" i="2"/>
  <c r="E56" i="2"/>
  <c r="L56" i="2"/>
  <c r="D56" i="2"/>
  <c r="K56" i="2"/>
  <c r="I56" i="2"/>
  <c r="H56" i="2"/>
  <c r="G56" i="2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E38" i="2" s="1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B93" i="3" s="1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K51" i="2" l="1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54" i="2"/>
  <c r="D15" i="2"/>
  <c r="E15" i="2"/>
  <c r="K13" i="2"/>
  <c r="E13" i="2"/>
  <c r="L13" i="2"/>
  <c r="G13" i="2"/>
  <c r="E55" i="2"/>
  <c r="D13" i="2"/>
  <c r="K54" i="2"/>
  <c r="L24" i="2"/>
  <c r="L23" i="2" s="1"/>
  <c r="M55" i="2"/>
  <c r="M54" i="2"/>
  <c r="G55" i="2" l="1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1" i="1" l="1"/>
  <c r="F94" i="3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103" i="3" l="1"/>
  <c r="C49" i="2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6" i="2"/>
  <c r="C47" i="3"/>
  <c r="C45" i="3"/>
  <c r="C27" i="3"/>
  <c r="C26" i="3"/>
  <c r="C44" i="3"/>
  <c r="C46" i="3"/>
  <c r="C25" i="1" l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F80" i="3"/>
  <c r="E80" i="3" s="1"/>
  <c r="E76" i="3"/>
  <c r="E79" i="3" s="1"/>
  <c r="H76" i="3"/>
  <c r="H79" i="3" s="1"/>
  <c r="D83" i="3"/>
  <c r="D85" i="3"/>
  <c r="C86" i="3"/>
  <c r="C87" i="3" s="1"/>
  <c r="C46" i="2"/>
  <c r="C54" i="2" l="1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F81" i="3" l="1"/>
  <c r="E81" i="3" s="1"/>
  <c r="H99" i="3"/>
  <c r="C70" i="3"/>
  <c r="D70" i="3" s="1"/>
  <c r="D49" i="3"/>
  <c r="D68" i="3"/>
  <c r="J28" i="3"/>
  <c r="E99" i="3" l="1"/>
  <c r="G23" i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C97" i="3" s="1"/>
  <c r="I97" i="3"/>
  <c r="C53" i="3" l="1"/>
  <c r="E53" i="3" s="1"/>
  <c r="C35" i="2"/>
  <c r="C53" i="2" l="1"/>
  <c r="C23" i="1" s="1"/>
  <c r="C20" i="1" s="1"/>
  <c r="C58" i="2"/>
  <c r="C59" i="2"/>
  <c r="C57" i="2"/>
  <c r="D52" i="3"/>
  <c r="C98" i="3"/>
  <c r="D6" i="3"/>
  <c r="D53" i="3"/>
  <c r="D7" i="3" l="1"/>
  <c r="E6" i="3"/>
  <c r="H98" i="3"/>
  <c r="C100" i="3"/>
  <c r="H100" i="3" s="1"/>
  <c r="H106" i="3" s="1"/>
  <c r="I100" i="3" l="1"/>
  <c r="E100" i="3"/>
  <c r="F100" i="3" l="1"/>
  <c r="E106" i="3"/>
  <c r="C106" i="3" s="1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<sst xmlns="http://schemas.openxmlformats.org/spreadsheetml/2006/main" count="392" uniqueCount="275">
  <si>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</si>
  <si>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</si>
  <si>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</si>
  <si>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</si>
  <si>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</si>
  <si>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</si>
  <si>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</si>
  <si>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</si>
  <si>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</si>
  <si>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</si>
  <si>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</si>
  <si>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</si>
  <si>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</si>
  <si>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</si>
  <si>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</si>
  <si>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</si>
  <si>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</si>
  <si>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</si>
  <si>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</si>
  <si>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</si>
  <si>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Output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</si>
  <si>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</si>
  <si>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</si>
  <si>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</si>
  <si>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</si>
  <si>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</si>
  <si>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</si>
  <si>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</si>
  <si>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</si>
  <si>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</si>
  <si>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</si>
  <si>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</si>
  <si>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</si>
  <si>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</si>
  <si>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</si>
  <si>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</si>
  <si>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</si>
  <si>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</si>
  <si>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</si>
  <si>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</si>
  <si>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</si>
  <si>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</si>
  <si>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</si>
  <si>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</si>
  <si>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</si>
  <si>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</si>
  <si>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</si>
  <si>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</si>
  <si>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</si>
  <si>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</si>
  <si>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</si>
  <si>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</si>
  <si>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</si>
  <si>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</si>
  <si>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</si>
  <si>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</si>
  <si>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</si>
  <si>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</si>
  <si>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</si>
  <si>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</si>
  <si>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</si>
  <si>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</si>
  <si>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</si>
  <si>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</si>
  <si>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</si>
  <si>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</si>
  <si>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</si>
  <si>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</si>
  <si>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</si>
  <si>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</si>
  <si>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</si>
  <si>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</si>
  <si>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</si>
  <si>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</si>
  <si>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</si>
  <si>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</si>
  <si>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</si>
  <si>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</si>
  <si>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</si>
  <si>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</si>
  <si>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</si>
  <si>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</si>
  <si>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</si>
  <si>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</si>
  <si>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</si>
  <si>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</si>
  <si>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</si>
  <si>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</si>
  <si>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</si>
  <si>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</si>
  <si>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</si>
  <si>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</si>
  <si>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</si>
  <si>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</si>
  <si>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</si>
  <si>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</si>
  <si>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</si>
  <si>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</si>
  <si>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</si>
  <si>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</si>
  <si>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</si>
  <si>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</si>
  <si>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</si>
  <si>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</si>
  <si>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</si>
  <si>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</si>
  <si>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</si>
  <si>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</si>
  <si>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</si>
  <si>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</si>
  <si>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</si>
  <si>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</si>
  <si>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</si>
  <si>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</si>
  <si>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</si>
  <si>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</si>
  <si>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</si>
  <si>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</si>
  <si>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</si>
  <si>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</si>
  <si>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</si>
  <si>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</si>
  <si>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</si>
  <si>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</si>
  <si>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</si>
  <si>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</si>
  <si>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</si>
  <si>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</si>
  <si>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</si>
  <si>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</si>
  <si>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</si>
  <si>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</si>
  <si>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</si>
  <si>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</si>
  <si>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</si>
  <si>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</si>
  <si>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</si>
  <si>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</si>
  <si>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</si>
  <si>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</si>
  <si>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</si>
  <si>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Inventory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</si>
  <si>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</si>
  <si>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</si>
  <si>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</si>
  <si>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</si>
  <si>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</si>
  <si>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</si>
  <si>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</si>
  <si>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</si>
  <si>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</si>
  <si>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</si>
  <si>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</si>
  <si>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</si>
  <si>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</si>
  <si>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</si>
  <si>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</si>
  <si>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</si>
  <si>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</si>
  <si>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</si>
  <si>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</si>
  <si>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</si>
  <si>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</si>
  <si>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</si>
  <si>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</si>
  <si>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</si>
  <si>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</si>
  <si>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</si>
  <si>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</si>
  <si>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</si>
  <si>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</si>
  <si>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</si>
  <si>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</si>
  <si>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</si>
  <si>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</si>
  <si>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</si>
  <si>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</si>
  <si>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</si>
  <si>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</si>
  <si>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</si>
  <si>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</si>
  <si>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</si>
  <si>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</si>
  <si>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</si>
  <si>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</si>
  <si>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</si>
  <si>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</si>
  <si>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</si>
  <si>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</si>
  <si>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</si>
  <si>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</si>
  <si>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</si>
  <si>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</si>
  <si>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</si>
  <si>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</si>
  <si>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</si>
  <si>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</si>
  <si>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</si>
  <si>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</si>
  <si>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</si>
  <si>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</si>
  <si>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</si>
  <si>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</si>
  <si>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</si>
  <si>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</si>
  <si>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</si>
  <si>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</si>
  <si>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</si>
  <si>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</si>
  <si>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</si>
  <si>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</si>
  <si>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</si>
  <si>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</si>
  <si>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</si>
  <si>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</si>
  <si>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</si>
  <si>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</si>
  <si>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</si>
  <si>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</si>
  <si>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</si>
  <si>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</si>
  <si>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</si>
  <si>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</si>
  <si>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</si>
  <si>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</si>
  <si>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</si>
  <si>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</si>
  <si>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</si>
  <si>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</si>
  <si>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</si>
  <si>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</si>
  <si>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</si>
  <si>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Years of Projection</t>
    <phoneticPr fontId="20" type="noConversion"/>
  </si>
  <si>
    <t>Profit</t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</si>
  <si>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</si>
  <si>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</si>
  <si>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</si>
  <si>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</si>
  <si>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</si>
  <si>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</si>
  <si>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</si>
  <si>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</si>
  <si>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</si>
  <si>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</si>
  <si>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</si>
  <si>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</si>
  <si>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Profibility Analysis</t>
    <phoneticPr fontId="20" type="noConversion"/>
  </si>
  <si>
    <t>Asset Turnover</t>
    <phoneticPr fontId="20" type="noConversion"/>
  </si>
  <si>
    <t>Leverage Analysis</t>
    <phoneticPr fontId="20" type="noConversion"/>
  </si>
  <si>
    <t>Common_Equity / Total Assets</t>
    <phoneticPr fontId="20" type="noConversion"/>
  </si>
  <si>
    <t>ROE</t>
    <phoneticPr fontId="20" type="noConversion"/>
  </si>
  <si>
    <t>EBIT ROE</t>
    <phoneticPr fontId="20" type="noConversion"/>
  </si>
  <si>
    <t>Pre-tax ROE</t>
    <phoneticPr fontId="20" type="noConversion"/>
  </si>
  <si>
    <t>Sales/Total_Assets</t>
    <phoneticPr fontId="20" type="noConversion"/>
  </si>
  <si>
    <t>ST_AR / Sales</t>
    <phoneticPr fontId="20" type="noConversion"/>
  </si>
  <si>
    <t>ST_Inventory / Sales</t>
    <phoneticPr fontId="20" type="noConversion"/>
  </si>
  <si>
    <t>EBIT Margin</t>
    <phoneticPr fontId="20" type="noConversion"/>
  </si>
  <si>
    <t>Interest Expense</t>
    <phoneticPr fontId="20" type="noConversion"/>
  </si>
  <si>
    <t>Normalized ΔWC</t>
    <phoneticPr fontId="20" type="noConversion"/>
  </si>
  <si>
    <t>Normalized CAPX-D&amp;A</t>
    <phoneticPr fontId="20" type="noConversion"/>
  </si>
  <si>
    <t>ROE &amp; Cost Structure</t>
    <phoneticPr fontId="20" type="noConversion"/>
  </si>
  <si>
    <t>Total Liabilities</t>
    <phoneticPr fontId="20" type="noConversion"/>
  </si>
  <si>
    <t>PlaceHolder_1</t>
    <phoneticPr fontId="20" type="noConversion"/>
  </si>
  <si>
    <t>Asset Turnover Ratio</t>
    <phoneticPr fontId="20" type="noConversion"/>
  </si>
  <si>
    <t># In general, the higher the accounts receivable, the higher the inventory, and the lower the fixed assets, the lower the asset turnover ratio.</t>
    <phoneticPr fontId="20" type="noConversion"/>
  </si>
  <si>
    <t>PlaceHolder_3</t>
    <phoneticPr fontId="20" type="noConversion"/>
  </si>
  <si>
    <t>PlaceHolder_4</t>
    <phoneticPr fontId="20" type="noConversion"/>
  </si>
  <si>
    <t>Contingent Liabilities</t>
    <phoneticPr fontId="20" type="noConversion"/>
  </si>
  <si>
    <t>Contin. Liabilities / Total Assets</t>
    <phoneticPr fontId="20" type="noConversion"/>
  </si>
  <si>
    <t>Leverage Ratio</t>
    <phoneticPr fontId="20" type="noConversion"/>
  </si>
  <si>
    <t>https://pages.stern.nyu.edu/~adamodar/New_Home_Page/datafile/countrytaxrates.html</t>
    <phoneticPr fontId="20" type="noConversion"/>
  </si>
  <si>
    <t>0806.HK</t>
  </si>
  <si>
    <t>VALUE PARTNERS</t>
  </si>
  <si>
    <t>C0008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</si>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</sst>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300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80" fontId="4" fillId="0" borderId="0" xfId="0" applyNumberFormat="1" applyFont="1" applyAlignment="1">
      <alignment horizontal="right"/>
    </xf>
    <xf numFmtId="10" fontId="4" fillId="0" borderId="8" xfId="0" applyNumberFormat="1" applyFont="1" applyBorder="1"/>
    <xf numFmtId="10" fontId="4" fillId="0" borderId="0" xfId="0" applyNumberFormat="1" applyFont="1" applyAlignment="1">
      <alignment horizontal="right"/>
    </xf>
    <xf numFmtId="0" fontId="4" fillId="0" borderId="23" xfId="0" applyFont="1" applyBorder="1" applyAlignment="1">
      <alignment horizontal="center"/>
    </xf>
    <xf numFmtId="10" fontId="4" fillId="0" borderId="24" xfId="0" applyNumberFormat="1" applyFont="1" applyBorder="1" applyAlignment="1">
      <alignment horizontal="right"/>
    </xf>
    <xf numFmtId="0" fontId="4" fillId="0" borderId="25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180" fontId="4" fillId="0" borderId="28" xfId="0" applyNumberFormat="1" applyFont="1" applyBorder="1" applyAlignment="1">
      <alignment horizontal="right"/>
    </xf>
    <xf numFmtId="0" fontId="4" fillId="0" borderId="29" xfId="0" applyFont="1" applyBorder="1" applyAlignment="1">
      <alignment horizontal="center"/>
    </xf>
    <xf numFmtId="0" fontId="10" fillId="0" borderId="8" xfId="0" applyFont="1" applyBorder="1"/>
    <xf numFmtId="3" fontId="6" fillId="0" borderId="9" xfId="0" applyNumberFormat="1" applyFont="1" applyBorder="1"/>
    <xf numFmtId="3" fontId="6" fillId="0" borderId="5" xfId="0" applyNumberFormat="1" applyFont="1" applyBorder="1" applyAlignment="1">
      <alignment horizontal="center"/>
    </xf>
    <xf numFmtId="3" fontId="1" fillId="0" borderId="9" xfId="0" applyNumberFormat="1" applyFont="1" applyBorder="1"/>
    <xf numFmtId="0" fontId="4" fillId="0" borderId="17" xfId="0" applyFont="1" applyBorder="1" applyAlignment="1">
      <alignment horizontal="center"/>
    </xf>
    <xf numFmtId="10" fontId="4" fillId="0" borderId="17" xfId="0" applyNumberFormat="1" applyFont="1" applyBorder="1" applyAlignment="1">
      <alignment horizontal="right"/>
    </xf>
    <xf numFmtId="180" fontId="4" fillId="0" borderId="30" xfId="0" applyNumberFormat="1" applyFont="1" applyBorder="1" applyAlignment="1">
      <alignment horizontal="right"/>
    </xf>
    <xf numFmtId="10" fontId="4" fillId="0" borderId="26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B6D7A8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3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200</v>
      </c>
    </row>
    <row r="4" spans="1:5" ht="13.9" x14ac:dyDescent="0.4">
      <c r="B4" s="139" t="s">
        <v>180</v>
      </c>
      <c r="C4" s="185" t="s">
        <v>271</v>
      </c>
    </row>
    <row r="5" spans="1:5" ht="13.9" x14ac:dyDescent="0.4">
      <c r="B5" s="139" t="s">
        <v>181</v>
      </c>
      <c r="C5" s="188" t="s">
        <v>272</v>
      </c>
    </row>
    <row r="6" spans="1:5" ht="13.9" x14ac:dyDescent="0.4">
      <c r="B6" s="139" t="s">
        <v>155</v>
      </c>
      <c r="C6" s="186">
        <v>45636</v>
      </c>
    </row>
    <row r="7" spans="1:5" ht="13.9" x14ac:dyDescent="0.4">
      <c r="B7" s="138" t="s">
        <v>4</v>
      </c>
      <c r="C7" s="187">
        <v>8</v>
      </c>
    </row>
    <row r="8" spans="1:5" ht="13.9" x14ac:dyDescent="0.4">
      <c r="B8" s="138" t="s">
        <v>201</v>
      </c>
      <c r="C8" s="188" t="s">
        <v>67</v>
      </c>
      <c r="E8" s="262"/>
    </row>
    <row r="9" spans="1:5" ht="13.9" x14ac:dyDescent="0.4">
      <c r="B9" s="138" t="s">
        <v>202</v>
      </c>
      <c r="C9" s="189" t="s">
        <v>273</v>
      </c>
    </row>
    <row r="10" spans="1:5" ht="13.9" x14ac:dyDescent="0.4">
      <c r="B10" s="138" t="s">
        <v>203</v>
      </c>
      <c r="C10" s="190">
        <v>1826710016</v>
      </c>
    </row>
    <row r="11" spans="1:5" ht="13.9" x14ac:dyDescent="0.4">
      <c r="B11" s="138" t="s">
        <v>204</v>
      </c>
      <c r="C11" s="189" t="s">
        <v>2</v>
      </c>
    </row>
    <row r="12" spans="1:5" ht="13.9" x14ac:dyDescent="0.4">
      <c r="B12" s="213" t="s">
        <v>10</v>
      </c>
      <c r="C12" s="214">
        <v>45291</v>
      </c>
    </row>
    <row r="13" spans="1:5" ht="13.9" x14ac:dyDescent="0.4">
      <c r="B13" s="213" t="s">
        <v>11</v>
      </c>
      <c r="C13" s="215">
        <v>1000</v>
      </c>
    </row>
    <row r="14" spans="1:5" ht="13.9" x14ac:dyDescent="0.4">
      <c r="B14" s="213" t="s">
        <v>205</v>
      </c>
      <c r="C14" s="214">
        <v>45473</v>
      </c>
    </row>
    <row r="15" spans="1:5" ht="13.9" x14ac:dyDescent="0.4">
      <c r="B15" s="213" t="s">
        <v>237</v>
      </c>
      <c r="C15" s="173" t="s">
        <v>242</v>
      </c>
    </row>
    <row r="16" spans="1:5" ht="13.9" x14ac:dyDescent="0.4">
      <c r="B16" s="217" t="s">
        <v>93</v>
      </c>
      <c r="C16" s="218">
        <v>0.25</v>
      </c>
      <c r="D16" s="24"/>
      <c r="E16" s="109" t="s">
        <v>270</v>
      </c>
    </row>
    <row r="17" spans="2:13" ht="13.9" x14ac:dyDescent="0.4">
      <c r="B17" s="235" t="s">
        <v>209</v>
      </c>
      <c r="C17" s="237" t="s">
        <v>228</v>
      </c>
      <c r="D17" s="24"/>
    </row>
    <row r="18" spans="2:13" ht="13.9" x14ac:dyDescent="0.4">
      <c r="B18" s="235" t="s">
        <v>223</v>
      </c>
      <c r="C18" s="237" t="s">
        <v>228</v>
      </c>
      <c r="D18" s="24"/>
    </row>
    <row r="19" spans="2:13" ht="13.9" x14ac:dyDescent="0.4">
      <c r="B19" s="235" t="s">
        <v>224</v>
      </c>
      <c r="C19" s="237" t="s">
        <v>228</v>
      </c>
      <c r="D19" s="24"/>
    </row>
    <row r="20" spans="2:13" ht="13.9" x14ac:dyDescent="0.4">
      <c r="B20" s="236" t="s">
        <v>213</v>
      </c>
      <c r="C20" s="237" t="s">
        <v>228</v>
      </c>
      <c r="D20" s="24"/>
    </row>
    <row r="21" spans="2:13" ht="13.9" x14ac:dyDescent="0.4">
      <c r="B21" s="219" t="s">
        <v>216</v>
      </c>
      <c r="C21" s="237" t="s">
        <v>228</v>
      </c>
      <c r="D21" s="24"/>
    </row>
    <row r="22" spans="2:13" ht="78.75" x14ac:dyDescent="0.4">
      <c r="B22" s="221" t="s">
        <v>215</v>
      </c>
      <c r="C22" s="238" t="s">
        <v>240</v>
      </c>
      <c r="D22" s="24"/>
    </row>
    <row r="24" spans="2:13" ht="13.9" x14ac:dyDescent="0.4">
      <c r="B24" s="114" t="s">
        <v>128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3" t="s">
        <v>12</v>
      </c>
      <c r="C25" s="147">
        <v>514856</v>
      </c>
      <c r="D25" s="147">
        <v>584543</v>
      </c>
      <c r="E25" s="147"/>
      <c r="F25" s="147"/>
      <c r="G25" s="147"/>
      <c r="H25" s="147"/>
      <c r="I25" s="147"/>
      <c r="J25" s="147"/>
      <c r="K25" s="147"/>
      <c r="L25" s="147"/>
      <c r="M25" s="147"/>
    </row>
    <row r="26" spans="2:13" ht="13.9" x14ac:dyDescent="0.4">
      <c r="B26" s="96" t="s">
        <v>102</v>
      </c>
      <c r="C26" s="148">
        <v>232905</v>
      </c>
      <c r="D26" s="148">
        <v>252590</v>
      </c>
      <c r="E26" s="148"/>
      <c r="F26" s="148"/>
      <c r="G26" s="148"/>
      <c r="H26" s="148"/>
      <c r="I26" s="148"/>
      <c r="J26" s="148"/>
      <c r="K26" s="148"/>
      <c r="L26" s="148"/>
      <c r="M26" s="148"/>
    </row>
    <row r="27" spans="2:13" ht="13.9" x14ac:dyDescent="0.4">
      <c r="B27" s="96" t="s">
        <v>100</v>
      </c>
      <c r="C27" s="148">
        <f>250848+7069+19250+113116</f>
        <v>390283</v>
      </c>
      <c r="D27" s="148">
        <f>330088+6978+20483+119776</f>
        <v>477325</v>
      </c>
      <c r="E27" s="148"/>
      <c r="F27" s="148"/>
      <c r="G27" s="148"/>
      <c r="H27" s="148"/>
      <c r="I27" s="148"/>
      <c r="J27" s="148"/>
      <c r="K27" s="148"/>
      <c r="L27" s="148"/>
      <c r="M27" s="148"/>
    </row>
    <row r="28" spans="2:13" ht="13.9" x14ac:dyDescent="0.4">
      <c r="B28" s="96" t="s">
        <v>103</v>
      </c>
      <c r="C28" s="148"/>
      <c r="D28" s="148"/>
      <c r="E28" s="148"/>
      <c r="F28" s="148"/>
      <c r="G28" s="148"/>
      <c r="H28" s="148"/>
      <c r="I28" s="148"/>
      <c r="J28" s="148"/>
      <c r="K28" s="148"/>
      <c r="L28" s="148"/>
      <c r="M28" s="148"/>
    </row>
    <row r="29" spans="2:13" ht="13.9" x14ac:dyDescent="0.4">
      <c r="B29" s="96" t="s">
        <v>238</v>
      </c>
      <c r="C29" s="148">
        <v>7447</v>
      </c>
      <c r="D29" s="148">
        <v>5293</v>
      </c>
      <c r="E29" s="148"/>
      <c r="F29" s="148"/>
      <c r="G29" s="148"/>
      <c r="H29" s="148"/>
      <c r="I29" s="148"/>
      <c r="J29" s="148"/>
      <c r="K29" s="148"/>
      <c r="L29" s="148"/>
      <c r="M29" s="148"/>
    </row>
    <row r="30" spans="2:13" ht="13.9" x14ac:dyDescent="0.4">
      <c r="B30" s="98" t="s">
        <v>107</v>
      </c>
      <c r="C30" s="148"/>
      <c r="D30" s="148"/>
      <c r="E30" s="148"/>
      <c r="F30" s="148"/>
      <c r="G30" s="148"/>
      <c r="H30" s="148"/>
      <c r="I30" s="148"/>
      <c r="J30" s="148"/>
      <c r="K30" s="148"/>
      <c r="L30" s="148"/>
      <c r="M30" s="148"/>
    </row>
    <row r="31" spans="2:13" ht="13.9" x14ac:dyDescent="0.4">
      <c r="B31" s="96" t="s">
        <v>106</v>
      </c>
      <c r="C31" s="148"/>
      <c r="D31" s="148"/>
      <c r="E31" s="148"/>
      <c r="F31" s="148"/>
      <c r="G31" s="148"/>
      <c r="H31" s="148"/>
      <c r="I31" s="148"/>
      <c r="J31" s="148"/>
      <c r="K31" s="148"/>
      <c r="L31" s="148"/>
      <c r="M31" s="148"/>
    </row>
    <row r="32" spans="2:13" ht="13.9" x14ac:dyDescent="0.4">
      <c r="B32" s="96" t="s">
        <v>101</v>
      </c>
      <c r="C32" s="148"/>
      <c r="D32" s="148"/>
      <c r="E32" s="148"/>
      <c r="F32" s="148"/>
      <c r="G32" s="148"/>
      <c r="H32" s="148"/>
      <c r="I32" s="148"/>
      <c r="J32" s="148"/>
      <c r="K32" s="148"/>
      <c r="L32" s="148"/>
      <c r="M32" s="148"/>
    </row>
    <row r="33" spans="2:13" ht="13.9" x14ac:dyDescent="0.4">
      <c r="B33" s="96" t="s">
        <v>104</v>
      </c>
      <c r="C33" s="148"/>
      <c r="D33" s="148"/>
      <c r="E33" s="148"/>
      <c r="F33" s="148"/>
      <c r="G33" s="148"/>
      <c r="H33" s="148"/>
      <c r="I33" s="148"/>
      <c r="J33" s="148"/>
      <c r="K33" s="148"/>
      <c r="L33" s="148"/>
      <c r="M33" s="148"/>
    </row>
    <row r="34" spans="2:13" ht="13.9" hidden="1" x14ac:dyDescent="0.4">
      <c r="B34" s="96" t="s">
        <v>262</v>
      </c>
      <c r="C34" s="212"/>
      <c r="D34" s="148"/>
      <c r="E34" s="148"/>
      <c r="F34" s="148"/>
      <c r="G34" s="148"/>
      <c r="H34" s="148"/>
      <c r="I34" s="148"/>
      <c r="J34" s="148"/>
      <c r="K34" s="148"/>
      <c r="L34" s="148"/>
      <c r="M34" s="148"/>
    </row>
    <row r="35" spans="2:13" ht="13.9" x14ac:dyDescent="0.4">
      <c r="B35" s="93" t="s">
        <v>112</v>
      </c>
      <c r="C35" s="212"/>
      <c r="D35" s="148"/>
      <c r="E35" s="148"/>
      <c r="F35" s="148"/>
      <c r="G35" s="148"/>
      <c r="H35" s="148"/>
      <c r="I35" s="148"/>
      <c r="J35" s="148"/>
      <c r="K35" s="148"/>
      <c r="L35" s="148"/>
      <c r="M35" s="148"/>
    </row>
    <row r="36" spans="2:13" ht="13.9" x14ac:dyDescent="0.4">
      <c r="B36" s="93" t="s">
        <v>141</v>
      </c>
      <c r="C36" s="212"/>
      <c r="D36" s="148"/>
      <c r="E36" s="148"/>
      <c r="F36" s="148"/>
      <c r="G36" s="148"/>
      <c r="H36" s="148"/>
      <c r="I36" s="148"/>
      <c r="J36" s="148"/>
      <c r="K36" s="148"/>
      <c r="L36" s="148"/>
      <c r="M36" s="148"/>
    </row>
    <row r="37" spans="2:13" ht="13.9" x14ac:dyDescent="0.4">
      <c r="B37" s="93" t="s">
        <v>261</v>
      </c>
      <c r="C37" s="148"/>
      <c r="D37" s="148"/>
      <c r="E37" s="148"/>
      <c r="F37" s="148"/>
      <c r="G37" s="148"/>
      <c r="H37" s="148"/>
      <c r="I37" s="148"/>
      <c r="J37" s="148"/>
      <c r="K37" s="148"/>
      <c r="L37" s="148"/>
      <c r="M37" s="148"/>
    </row>
    <row r="38" spans="2:13" ht="13.9" x14ac:dyDescent="0.4">
      <c r="B38" s="93" t="s">
        <v>267</v>
      </c>
      <c r="C38" s="148"/>
      <c r="D38" s="148"/>
      <c r="E38" s="148"/>
      <c r="F38" s="148"/>
      <c r="G38" s="148"/>
      <c r="H38" s="148"/>
      <c r="I38" s="148"/>
      <c r="J38" s="148"/>
      <c r="K38" s="148"/>
      <c r="L38" s="148"/>
      <c r="M38" s="148"/>
    </row>
    <row r="39" spans="2:13" ht="13.9" x14ac:dyDescent="0.4">
      <c r="B39" s="93" t="s">
        <v>17</v>
      </c>
      <c r="C39" s="212"/>
      <c r="D39" s="148"/>
      <c r="E39" s="148"/>
      <c r="F39" s="148"/>
      <c r="G39" s="148"/>
      <c r="H39" s="148"/>
      <c r="I39" s="148"/>
      <c r="J39" s="148"/>
      <c r="K39" s="148"/>
      <c r="L39" s="148"/>
      <c r="M39" s="148"/>
    </row>
    <row r="40" spans="2:13" ht="13.9" x14ac:dyDescent="0.4">
      <c r="B40" s="93" t="s">
        <v>18</v>
      </c>
      <c r="C40" s="212"/>
      <c r="D40" s="148"/>
      <c r="E40" s="148"/>
      <c r="F40" s="148"/>
      <c r="G40" s="148"/>
      <c r="H40" s="148"/>
      <c r="I40" s="148"/>
      <c r="J40" s="148"/>
      <c r="K40" s="148"/>
      <c r="L40" s="148"/>
      <c r="M40" s="148"/>
    </row>
    <row r="41" spans="2:13" ht="13.9" x14ac:dyDescent="0.4">
      <c r="B41" s="93" t="s">
        <v>132</v>
      </c>
      <c r="C41" s="148"/>
      <c r="D41" s="148"/>
      <c r="E41" s="148"/>
      <c r="F41" s="148"/>
      <c r="G41" s="148"/>
      <c r="H41" s="148"/>
      <c r="I41" s="148"/>
      <c r="J41" s="148"/>
      <c r="K41" s="148"/>
      <c r="L41" s="148"/>
      <c r="M41" s="148"/>
    </row>
    <row r="42" spans="2:13" ht="13.9" x14ac:dyDescent="0.4">
      <c r="B42" s="93" t="s">
        <v>133</v>
      </c>
      <c r="C42" s="148"/>
      <c r="D42" s="148"/>
      <c r="E42" s="148"/>
      <c r="F42" s="148"/>
      <c r="G42" s="148"/>
      <c r="H42" s="148"/>
      <c r="I42" s="148"/>
      <c r="J42" s="148"/>
      <c r="K42" s="148"/>
      <c r="L42" s="148"/>
      <c r="M42" s="148"/>
    </row>
    <row r="43" spans="2:13" ht="13.9" x14ac:dyDescent="0.4">
      <c r="B43" s="93" t="s">
        <v>131</v>
      </c>
      <c r="C43" s="212"/>
      <c r="D43" s="148"/>
      <c r="E43" s="148"/>
      <c r="F43" s="148"/>
      <c r="G43" s="148"/>
      <c r="H43" s="148"/>
      <c r="I43" s="148"/>
      <c r="J43" s="148"/>
      <c r="K43" s="148"/>
      <c r="L43" s="148"/>
      <c r="M43" s="148"/>
    </row>
    <row r="44" spans="2:13" ht="13.9" x14ac:dyDescent="0.4">
      <c r="B44" s="74" t="s">
        <v>193</v>
      </c>
      <c r="C44" s="245">
        <v>0.5</v>
      </c>
      <c r="D44" s="245">
        <v>3.3999923061679899E-2</v>
      </c>
      <c r="E44" s="245">
        <v>0.08</v>
      </c>
      <c r="F44" s="245">
        <f>0.26+0.08</f>
        <v>0.34</v>
      </c>
      <c r="G44" s="245"/>
      <c r="H44" s="245"/>
      <c r="I44" s="245"/>
      <c r="J44" s="245"/>
      <c r="K44" s="245"/>
      <c r="L44" s="245"/>
      <c r="M44" s="245"/>
    </row>
    <row r="45" spans="2:13" ht="13.9" x14ac:dyDescent="0.4">
      <c r="B45" s="74" t="s">
        <v>234</v>
      </c>
      <c r="C45" s="150">
        <f>IF(C44="","",C44*Exchange_Rate/Dashboard!$G$3)</f>
        <v>0.33112582781456956</v>
      </c>
      <c r="D45" s="150">
        <f>IF(D44="","",D44*Exchange_Rate/Dashboard!$G$3)</f>
        <v>2.2516505338860859E-2</v>
      </c>
      <c r="E45" s="150">
        <f>IF(E44="","",E44*Exchange_Rate/Dashboard!$G$3)</f>
        <v>5.2980132450331126E-2</v>
      </c>
      <c r="F45" s="150">
        <f>IF(F44="","",F44*Exchange_Rate/Dashboard!$G$3)</f>
        <v>0.2251655629139073</v>
      </c>
      <c r="G45" s="150" t="str">
        <f>IF(G44="","",G44*Exchange_Rate/Dashboard!$G$3)</f>
        <v/>
      </c>
      <c r="H45" s="150" t="str">
        <f>IF(H44="","",H44*Exchange_Rate/Dashboard!$G$3)</f>
        <v/>
      </c>
      <c r="I45" s="150" t="str">
        <f>IF(I44="","",I44*Exchange_Rate/Dashboard!$G$3)</f>
        <v/>
      </c>
      <c r="J45" s="150" t="str">
        <f>IF(J44="","",J44*Exchange_Rate/Dashboard!$G$3)</f>
        <v/>
      </c>
      <c r="K45" s="150" t="str">
        <f>IF(K44="","",K44*Exchange_Rate/Dashboard!$G$3)</f>
        <v/>
      </c>
      <c r="L45" s="150" t="str">
        <f>IF(L44="","",L44*Exchange_Rate/Dashboard!$G$3)</f>
        <v/>
      </c>
      <c r="M45" s="150" t="str">
        <f>IF(M44="","",M44*Exchange_Rate/Dashboard!$G$3)</f>
        <v/>
      </c>
    </row>
    <row r="47" spans="2:13" ht="13.9" x14ac:dyDescent="0.4">
      <c r="B47" s="10" t="str">
        <f>"Balance Sheet"&amp;IF(SUM(C48:C72)=C37+C41,"","- Error")</f>
        <v>Balance Sheet- Error</v>
      </c>
      <c r="C47" s="191" t="s">
        <v>30</v>
      </c>
      <c r="D47" s="191" t="s">
        <v>182</v>
      </c>
      <c r="E47" s="110" t="s">
        <v>32</v>
      </c>
    </row>
    <row r="48" spans="2:13" ht="13.9" x14ac:dyDescent="0.4">
      <c r="B48" s="3" t="s">
        <v>34</v>
      </c>
      <c r="C48" s="59">
        <v>922361</v>
      </c>
      <c r="D48" s="60">
        <v>0.9</v>
      </c>
      <c r="E48" s="111"/>
    </row>
    <row r="49" spans="2:5" ht="13.9" x14ac:dyDescent="0.4">
      <c r="B49" s="1" t="s">
        <v>130</v>
      </c>
      <c r="C49" s="59"/>
      <c r="D49" s="60">
        <v>0.8</v>
      </c>
      <c r="E49" s="111"/>
    </row>
    <row r="50" spans="2:5" ht="13.9" x14ac:dyDescent="0.4">
      <c r="B50" s="3" t="s">
        <v>112</v>
      </c>
      <c r="C50" s="59">
        <f>46927+74233+23318</f>
        <v>144478</v>
      </c>
      <c r="D50" s="60">
        <f>D51</f>
        <v>0.6</v>
      </c>
      <c r="E50" s="111"/>
    </row>
    <row r="51" spans="2:5" ht="13.9" x14ac:dyDescent="0.4">
      <c r="B51" s="3" t="s">
        <v>38</v>
      </c>
      <c r="C51" s="59">
        <v>179879</v>
      </c>
      <c r="D51" s="60">
        <v>0.6</v>
      </c>
      <c r="E51" s="111"/>
    </row>
    <row r="52" spans="2:5" ht="13.9" x14ac:dyDescent="0.4">
      <c r="B52" s="3" t="s">
        <v>40</v>
      </c>
      <c r="C52" s="59"/>
      <c r="D52" s="60">
        <v>0.5</v>
      </c>
      <c r="E52" s="111"/>
    </row>
    <row r="53" spans="2:5" ht="13.9" x14ac:dyDescent="0.4">
      <c r="B53" s="1" t="s">
        <v>150</v>
      </c>
      <c r="C53" s="59"/>
      <c r="D53" s="60">
        <f>D50</f>
        <v>0.6</v>
      </c>
      <c r="E53" s="111"/>
    </row>
    <row r="54" spans="2:5" ht="13.9" x14ac:dyDescent="0.4">
      <c r="B54" s="3" t="s">
        <v>244</v>
      </c>
      <c r="C54" s="59">
        <v>27002</v>
      </c>
      <c r="D54" s="60">
        <v>0.1</v>
      </c>
      <c r="E54" s="111"/>
    </row>
    <row r="55" spans="2:5" ht="13.9" x14ac:dyDescent="0.4">
      <c r="B55" s="3" t="s">
        <v>43</v>
      </c>
      <c r="C55" s="59"/>
      <c r="D55" s="60">
        <f>D52</f>
        <v>0.5</v>
      </c>
      <c r="E55" s="111"/>
    </row>
    <row r="56" spans="2:5" ht="13.9" x14ac:dyDescent="0.4">
      <c r="B56" s="1" t="s">
        <v>44</v>
      </c>
      <c r="C56" s="59"/>
      <c r="D56" s="60">
        <f>D50</f>
        <v>0.6</v>
      </c>
      <c r="E56" s="216" t="s">
        <v>67</v>
      </c>
    </row>
    <row r="57" spans="2:5" ht="13.9" x14ac:dyDescent="0.4">
      <c r="B57" s="3" t="s">
        <v>115</v>
      </c>
      <c r="C57" s="59"/>
      <c r="D57" s="60">
        <v>0.6</v>
      </c>
      <c r="E57" s="216" t="s">
        <v>42</v>
      </c>
    </row>
    <row r="58" spans="2:5" ht="13.9" x14ac:dyDescent="0.4">
      <c r="B58" s="3" t="s">
        <v>46</v>
      </c>
      <c r="C58" s="59">
        <f>553</f>
        <v>553</v>
      </c>
      <c r="D58" s="60">
        <f>D48</f>
        <v>0.9</v>
      </c>
      <c r="E58" s="111"/>
    </row>
    <row r="59" spans="2:5" ht="13.9" x14ac:dyDescent="0.4">
      <c r="B59" s="35" t="s">
        <v>47</v>
      </c>
      <c r="C59" s="118"/>
      <c r="D59" s="192">
        <f>D70</f>
        <v>0.05</v>
      </c>
      <c r="E59" s="111"/>
    </row>
    <row r="60" spans="2:5" ht="13.9" x14ac:dyDescent="0.4">
      <c r="B60" s="3" t="s">
        <v>57</v>
      </c>
      <c r="C60" s="59"/>
      <c r="D60" s="60">
        <f>D49</f>
        <v>0.8</v>
      </c>
      <c r="E60" s="111"/>
    </row>
    <row r="61" spans="2:5" ht="13.9" x14ac:dyDescent="0.4">
      <c r="B61" s="3" t="s">
        <v>59</v>
      </c>
      <c r="C61" s="59">
        <v>1575035</v>
      </c>
      <c r="D61" s="60">
        <f>D51</f>
        <v>0.6</v>
      </c>
      <c r="E61" s="111"/>
    </row>
    <row r="62" spans="2:5" ht="13.9" x14ac:dyDescent="0.4">
      <c r="B62" s="3" t="s">
        <v>61</v>
      </c>
      <c r="C62" s="59"/>
      <c r="D62" s="60">
        <f>D52</f>
        <v>0.5</v>
      </c>
      <c r="E62" s="111"/>
    </row>
    <row r="63" spans="2:5" ht="13.9" x14ac:dyDescent="0.4">
      <c r="B63" s="1" t="s">
        <v>151</v>
      </c>
      <c r="C63" s="59"/>
      <c r="D63" s="60">
        <f>D62</f>
        <v>0.5</v>
      </c>
      <c r="E63" s="111"/>
    </row>
    <row r="64" spans="2:5" ht="13.9" x14ac:dyDescent="0.4">
      <c r="B64" s="3" t="s">
        <v>243</v>
      </c>
      <c r="C64" s="59"/>
      <c r="D64" s="60">
        <v>0.4</v>
      </c>
      <c r="E64" s="111"/>
    </row>
    <row r="65" spans="2:5" ht="13.9" x14ac:dyDescent="0.4">
      <c r="B65" s="3" t="s">
        <v>66</v>
      </c>
      <c r="C65" s="59">
        <f>512565+1009</f>
        <v>513574</v>
      </c>
      <c r="D65" s="60">
        <v>0.1</v>
      </c>
      <c r="E65" s="216" t="s">
        <v>67</v>
      </c>
    </row>
    <row r="66" spans="2:5" ht="13.9" x14ac:dyDescent="0.4">
      <c r="B66" s="3" t="s">
        <v>68</v>
      </c>
      <c r="C66" s="59">
        <v>187576</v>
      </c>
      <c r="D66" s="60">
        <v>0.2</v>
      </c>
      <c r="E66" s="216" t="s">
        <v>67</v>
      </c>
    </row>
    <row r="67" spans="2:5" ht="13.9" x14ac:dyDescent="0.4">
      <c r="B67" s="1" t="s">
        <v>45</v>
      </c>
      <c r="C67" s="59"/>
      <c r="D67" s="60">
        <f>D65</f>
        <v>0.1</v>
      </c>
      <c r="E67" s="216" t="s">
        <v>42</v>
      </c>
    </row>
    <row r="68" spans="2:5" ht="13.9" x14ac:dyDescent="0.4">
      <c r="B68" s="3" t="s">
        <v>114</v>
      </c>
      <c r="C68" s="59">
        <f>149516+38681</f>
        <v>188197</v>
      </c>
      <c r="D68" s="60">
        <f>D65</f>
        <v>0.1</v>
      </c>
      <c r="E68" s="111"/>
    </row>
    <row r="69" spans="2:5" ht="13.9" x14ac:dyDescent="0.4">
      <c r="B69" s="3" t="s">
        <v>69</v>
      </c>
      <c r="C69" s="59"/>
      <c r="D69" s="60">
        <f>D70</f>
        <v>0.05</v>
      </c>
      <c r="E69" s="111"/>
    </row>
    <row r="70" spans="2:5" ht="13.9" x14ac:dyDescent="0.4">
      <c r="B70" s="3" t="s">
        <v>70</v>
      </c>
      <c r="C70" s="59">
        <v>11428</v>
      </c>
      <c r="D70" s="60">
        <v>0.05</v>
      </c>
      <c r="E70" s="111"/>
    </row>
    <row r="71" spans="2:5" ht="13.9" x14ac:dyDescent="0.4">
      <c r="B71" s="3" t="s">
        <v>71</v>
      </c>
      <c r="C71" s="59">
        <v>3593</v>
      </c>
      <c r="D71" s="60">
        <f>D58</f>
        <v>0.9</v>
      </c>
      <c r="E71" s="111"/>
    </row>
    <row r="72" spans="2:5" ht="14.25" thickBot="1" x14ac:dyDescent="0.45">
      <c r="B72" s="241" t="s">
        <v>72</v>
      </c>
      <c r="C72" s="242">
        <v>7278</v>
      </c>
      <c r="D72" s="243">
        <v>0</v>
      </c>
      <c r="E72" s="244"/>
    </row>
    <row r="73" spans="2:5" ht="13.9" x14ac:dyDescent="0.4">
      <c r="B73" s="3" t="s">
        <v>35</v>
      </c>
      <c r="C73" s="59">
        <v>1149</v>
      </c>
    </row>
    <row r="74" spans="2:5" ht="13.9" x14ac:dyDescent="0.4">
      <c r="B74" s="3" t="s">
        <v>36</v>
      </c>
      <c r="C74" s="59">
        <v>13306</v>
      </c>
    </row>
    <row r="75" spans="2:5" ht="13.9" x14ac:dyDescent="0.4">
      <c r="B75" s="3" t="s">
        <v>37</v>
      </c>
      <c r="C75" s="59"/>
    </row>
    <row r="76" spans="2:5" ht="13.9" x14ac:dyDescent="0.4">
      <c r="B76" s="85" t="s">
        <v>39</v>
      </c>
      <c r="C76" s="118"/>
    </row>
    <row r="77" spans="2:5" ht="14.25" thickBot="1" x14ac:dyDescent="0.45">
      <c r="B77" s="80" t="s">
        <v>16</v>
      </c>
      <c r="C77" s="82">
        <v>94912</v>
      </c>
    </row>
    <row r="78" spans="2:5" ht="14.25" thickTop="1" x14ac:dyDescent="0.4">
      <c r="B78" s="3" t="s">
        <v>58</v>
      </c>
      <c r="C78" s="59">
        <v>70891</v>
      </c>
    </row>
    <row r="79" spans="2:5" ht="13.9" x14ac:dyDescent="0.4">
      <c r="B79" s="3" t="s">
        <v>60</v>
      </c>
      <c r="C79" s="59">
        <v>24307</v>
      </c>
    </row>
    <row r="80" spans="2:5" ht="13.9" x14ac:dyDescent="0.4">
      <c r="B80" s="3" t="s">
        <v>62</v>
      </c>
      <c r="C80" s="59"/>
    </row>
    <row r="81" spans="2:8" ht="13.9" x14ac:dyDescent="0.4">
      <c r="B81" s="85" t="s">
        <v>63</v>
      </c>
      <c r="C81" s="118"/>
    </row>
    <row r="82" spans="2:8" ht="14.25" hidden="1" thickBot="1" x14ac:dyDescent="0.45">
      <c r="B82" s="80" t="s">
        <v>265</v>
      </c>
      <c r="C82" s="212">
        <v>95903</v>
      </c>
    </row>
    <row r="83" spans="2:8" ht="14.25" hidden="1" thickTop="1" x14ac:dyDescent="0.4">
      <c r="B83" s="73" t="s">
        <v>266</v>
      </c>
      <c r="C83" s="212">
        <v>3570139</v>
      </c>
    </row>
    <row r="84" spans="2:8" ht="13.9" x14ac:dyDescent="0.4">
      <c r="B84" s="20" t="s">
        <v>87</v>
      </c>
      <c r="C84" s="59"/>
    </row>
    <row r="85" spans="2:8" ht="13.9" x14ac:dyDescent="0.4">
      <c r="B85" s="20" t="s">
        <v>89</v>
      </c>
      <c r="C85" s="59"/>
    </row>
    <row r="86" spans="2:8" ht="13.9" x14ac:dyDescent="0.4">
      <c r="B86" s="10" t="s">
        <v>232</v>
      </c>
      <c r="C86" s="194">
        <v>5</v>
      </c>
    </row>
    <row r="87" spans="2:8" ht="13.9" x14ac:dyDescent="0.4">
      <c r="B87" s="10" t="s">
        <v>231</v>
      </c>
      <c r="C87" s="231" t="s">
        <v>233</v>
      </c>
      <c r="D87" s="264">
        <v>0.02</v>
      </c>
    </row>
    <row r="89" spans="2:8" ht="13.5" x14ac:dyDescent="0.35">
      <c r="B89" s="105" t="s">
        <v>122</v>
      </c>
      <c r="C89" s="284">
        <f>C24</f>
        <v>45291</v>
      </c>
      <c r="D89" s="284"/>
      <c r="E89" s="88" t="s">
        <v>192</v>
      </c>
      <c r="F89" s="88" t="s">
        <v>191</v>
      </c>
      <c r="H89" s="31"/>
    </row>
    <row r="90" spans="2:8" ht="13.9" x14ac:dyDescent="0.4">
      <c r="B90" s="12" t="str">
        <f>"(Numbers in "&amp;Data!C4&amp;Dashboard!G6&amp;")"</f>
        <v>(Numbers in 1000HKD)</v>
      </c>
      <c r="C90" s="285" t="s">
        <v>97</v>
      </c>
      <c r="D90" s="285"/>
      <c r="E90" s="230" t="s">
        <v>98</v>
      </c>
      <c r="F90" s="250" t="s">
        <v>98</v>
      </c>
    </row>
    <row r="91" spans="2:8" ht="13.9" x14ac:dyDescent="0.4">
      <c r="B91" s="3" t="s">
        <v>121</v>
      </c>
      <c r="C91" s="77">
        <f>C25</f>
        <v>514856</v>
      </c>
      <c r="D91" s="204"/>
      <c r="E91" s="246">
        <f>C91</f>
        <v>514856</v>
      </c>
      <c r="F91" s="246">
        <f>C91</f>
        <v>514856</v>
      </c>
    </row>
    <row r="92" spans="2:8" ht="13.9" x14ac:dyDescent="0.4">
      <c r="B92" s="103" t="s">
        <v>102</v>
      </c>
      <c r="C92" s="77">
        <f>C26</f>
        <v>232905</v>
      </c>
      <c r="D92" s="156">
        <f>C92/C91</f>
        <v>0.45236920614696147</v>
      </c>
      <c r="E92" s="247">
        <f>E91*D92</f>
        <v>232905</v>
      </c>
      <c r="F92" s="247">
        <f>F91*D92</f>
        <v>232905</v>
      </c>
    </row>
    <row r="93" spans="2:8" ht="13.9" x14ac:dyDescent="0.4">
      <c r="B93" s="103" t="s">
        <v>230</v>
      </c>
      <c r="C93" s="77">
        <f>C27+C28</f>
        <v>390283</v>
      </c>
      <c r="D93" s="156">
        <f>C93/C91</f>
        <v>0.75804302562269843</v>
      </c>
      <c r="E93" s="247">
        <f>E91*D93</f>
        <v>390283</v>
      </c>
      <c r="F93" s="247">
        <f>F91*D93</f>
        <v>390283</v>
      </c>
    </row>
    <row r="94" spans="2:8" ht="13.9" x14ac:dyDescent="0.4">
      <c r="B94" s="103" t="s">
        <v>238</v>
      </c>
      <c r="C94" s="77">
        <f>C29</f>
        <v>7447</v>
      </c>
      <c r="D94" s="156">
        <f>C94/C91</f>
        <v>1.4464238544369687E-2</v>
      </c>
      <c r="E94" s="248"/>
      <c r="F94" s="247">
        <f>F91*D94</f>
        <v>7447</v>
      </c>
    </row>
    <row r="95" spans="2:8" ht="13.9" x14ac:dyDescent="0.4">
      <c r="B95" s="28" t="s">
        <v>229</v>
      </c>
      <c r="C95" s="77">
        <f>ABS(MAX(C33,0)-C32)</f>
        <v>0</v>
      </c>
      <c r="D95" s="156">
        <f>C95/C91</f>
        <v>0</v>
      </c>
      <c r="E95" s="247">
        <f>E91*D95</f>
        <v>0</v>
      </c>
      <c r="F95" s="247">
        <f>F91*D95</f>
        <v>0</v>
      </c>
    </row>
    <row r="96" spans="2:8" ht="13.9" x14ac:dyDescent="0.4">
      <c r="B96" s="28" t="s">
        <v>106</v>
      </c>
      <c r="C96" s="77">
        <f>MAX(C31,0)</f>
        <v>0</v>
      </c>
      <c r="D96" s="156">
        <f>C96/C91</f>
        <v>0</v>
      </c>
      <c r="E96" s="248"/>
      <c r="F96" s="247">
        <f>F91*D96</f>
        <v>0</v>
      </c>
    </row>
    <row r="97" spans="2:7" ht="13.9" x14ac:dyDescent="0.4">
      <c r="B97" s="73" t="s">
        <v>161</v>
      </c>
      <c r="C97" s="77">
        <f>MAX(C30,0)/(1-C16)</f>
        <v>0</v>
      </c>
      <c r="D97" s="156">
        <f>C97/C91</f>
        <v>0</v>
      </c>
      <c r="E97" s="248"/>
      <c r="F97" s="247">
        <f>F91*D97</f>
        <v>0</v>
      </c>
    </row>
    <row r="98" spans="2:7" ht="13.9" x14ac:dyDescent="0.4">
      <c r="B98" s="85" t="s">
        <v>193</v>
      </c>
      <c r="C98" s="232">
        <f>C44</f>
        <v>0.5</v>
      </c>
      <c r="D98" s="261"/>
      <c r="E98" s="249">
        <v>0</v>
      </c>
      <c r="F98" s="249">
        <v>0.03</v>
      </c>
      <c r="G98" s="1"/>
    </row>
  </sheetData>
  <mergeCells count="2">
    <mergeCell ref="C89:D89"/>
    <mergeCell ref="C90:D90"/>
  </mergeCells>
  <phoneticPr fontId="20" type="noConversion"/>
  <conditionalFormatting sqref="C16 C25:M33 D34:M43 C44:M44 E91:F93 F94 E95:F95 F96:F98">
    <cfRule type="containsBlanks" dxfId="22" priority="15">
      <formula>LEN(TRIM(C16))=0</formula>
    </cfRule>
  </conditionalFormatting>
  <conditionalFormatting sqref="C37:C38">
    <cfRule type="containsBlanks" dxfId="21" priority="1">
      <formula>LEN(TRIM(C37))=0</formula>
    </cfRule>
  </conditionalFormatting>
  <conditionalFormatting sqref="C41:C42">
    <cfRule type="containsBlanks" dxfId="20" priority="2">
      <formula>LEN(TRIM(C41))=0</formula>
    </cfRule>
  </conditionalFormatting>
  <conditionalFormatting sqref="C87">
    <cfRule type="containsBlanks" dxfId="19" priority="8">
      <formula>LEN(TRIM(C87))=0</formula>
    </cfRule>
  </conditionalFormatting>
  <conditionalFormatting sqref="C98">
    <cfRule type="containsBlanks" dxfId="18" priority="7">
      <formula>LEN(TRIM(C98))=0</formula>
    </cfRule>
  </conditionalFormatting>
  <conditionalFormatting sqref="E98">
    <cfRule type="containsBlanks" dxfId="17" priority="5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topLeftCell="A9" zoomScaleNormal="100" workbookViewId="0">
      <selection activeCell="B40" sqref="B40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6"/>
      <c r="C1" s="86"/>
      <c r="D1" s="86"/>
      <c r="E1" s="86"/>
      <c r="F1" s="86"/>
      <c r="G1" s="86"/>
      <c r="H1" s="86"/>
    </row>
    <row r="2" spans="1:10" ht="15.75" customHeight="1" x14ac:dyDescent="0.4">
      <c r="A2" s="5"/>
      <c r="B2" s="6" t="s">
        <v>0</v>
      </c>
      <c r="C2" s="25" t="str">
        <f>C3&amp;" : "&amp;C4</f>
        <v>0806.HK : VALUE PARTNERS</v>
      </c>
      <c r="D2" s="86"/>
      <c r="E2" s="7"/>
      <c r="F2" s="7"/>
      <c r="G2" s="85"/>
      <c r="H2" s="85"/>
    </row>
    <row r="3" spans="1:10" ht="15.75" customHeight="1" x14ac:dyDescent="0.4">
      <c r="B3" s="3" t="s">
        <v>180</v>
      </c>
      <c r="C3" s="290" t="str">
        <f>Inputs!C4</f>
        <v>0806.HK</v>
      </c>
      <c r="D3" s="291"/>
      <c r="E3" s="86"/>
      <c r="F3" s="3" t="s">
        <v>1</v>
      </c>
      <c r="G3" s="130">
        <v>1.51</v>
      </c>
      <c r="H3" s="132" t="s">
        <v>274</v>
      </c>
    </row>
    <row r="4" spans="1:10" ht="15.75" customHeight="1" x14ac:dyDescent="0.4">
      <c r="B4" s="35" t="s">
        <v>181</v>
      </c>
      <c r="C4" s="292" t="str">
        <f>Inputs!C5</f>
        <v>VALUE PARTNERS</v>
      </c>
      <c r="D4" s="293"/>
      <c r="E4" s="86"/>
      <c r="F4" s="3" t="s">
        <v>3</v>
      </c>
      <c r="G4" s="296">
        <f>Inputs!C10</f>
        <v>1826710016</v>
      </c>
      <c r="H4" s="296"/>
      <c r="I4" s="39"/>
    </row>
    <row r="5" spans="1:10" ht="15.75" customHeight="1" x14ac:dyDescent="0.4">
      <c r="B5" s="3" t="s">
        <v>155</v>
      </c>
      <c r="C5" s="294">
        <f>Inputs!C6</f>
        <v>45636</v>
      </c>
      <c r="D5" s="295"/>
      <c r="E5" s="34"/>
      <c r="F5" s="35" t="s">
        <v>96</v>
      </c>
      <c r="G5" s="288">
        <f>G3*G4/1000000</f>
        <v>2758.3321241599997</v>
      </c>
      <c r="H5" s="288"/>
      <c r="I5" s="38"/>
      <c r="J5" s="28"/>
    </row>
    <row r="6" spans="1:10" ht="15.75" customHeight="1" x14ac:dyDescent="0.4">
      <c r="B6" s="86" t="s">
        <v>4</v>
      </c>
      <c r="C6" s="182">
        <f>Inputs!C7</f>
        <v>8</v>
      </c>
      <c r="D6" s="183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89" t="str">
        <f>Inputs!C11</f>
        <v>HKD</v>
      </c>
      <c r="H6" s="289"/>
      <c r="I6" s="38"/>
    </row>
    <row r="7" spans="1:10" ht="15.75" customHeight="1" x14ac:dyDescent="0.4">
      <c r="B7" s="85" t="s">
        <v>178</v>
      </c>
      <c r="C7" s="184" t="str">
        <f>Inputs!C8</f>
        <v>N</v>
      </c>
      <c r="D7" s="184" t="str">
        <f>Inputs!C9</f>
        <v>C0008</v>
      </c>
      <c r="E7" s="86"/>
      <c r="F7" s="35" t="s">
        <v>6</v>
      </c>
      <c r="G7" s="131">
        <v>1</v>
      </c>
      <c r="H7" s="71" t="str">
        <f>IF(G6=Dashboard!H3,H3,G6&amp;"/"&amp;Dashboard!H3)</f>
        <v>HKD</v>
      </c>
    </row>
    <row r="8" spans="1:10" ht="15.75" customHeight="1" x14ac:dyDescent="0.4"/>
    <row r="9" spans="1:10" ht="15.75" customHeight="1" x14ac:dyDescent="0.4">
      <c r="B9" s="137" t="s">
        <v>177</v>
      </c>
      <c r="F9" s="141" t="s">
        <v>172</v>
      </c>
    </row>
    <row r="10" spans="1:10" ht="15.75" customHeight="1" x14ac:dyDescent="0.4">
      <c r="B10" s="1" t="s">
        <v>163</v>
      </c>
      <c r="C10" s="169">
        <v>4.2000000000000003E-2</v>
      </c>
      <c r="F10" s="109" t="s">
        <v>170</v>
      </c>
    </row>
    <row r="11" spans="1:10" ht="15.75" customHeight="1" thickBot="1" x14ac:dyDescent="0.45">
      <c r="B11" s="120" t="s">
        <v>167</v>
      </c>
      <c r="C11" s="170">
        <v>5.2299999999999999E-2</v>
      </c>
      <c r="D11" s="135" t="s">
        <v>176</v>
      </c>
      <c r="F11" s="109" t="s">
        <v>165</v>
      </c>
    </row>
    <row r="12" spans="1:10" ht="15.75" customHeight="1" thickTop="1" x14ac:dyDescent="0.4">
      <c r="B12" s="86" t="s">
        <v>235</v>
      </c>
      <c r="C12" s="171">
        <v>7.4999999999999997E-2</v>
      </c>
      <c r="D12" s="169">
        <v>8.0625000000000002E-2</v>
      </c>
      <c r="F12" s="109"/>
    </row>
    <row r="13" spans="1:10" ht="15.75" customHeight="1" x14ac:dyDescent="0.4"/>
    <row r="14" spans="1:10" ht="15.75" customHeight="1" x14ac:dyDescent="0.4">
      <c r="B14" s="1" t="s">
        <v>164</v>
      </c>
      <c r="C14" s="169">
        <v>1.8100000000000002E-2</v>
      </c>
      <c r="F14" s="109" t="s">
        <v>169</v>
      </c>
    </row>
    <row r="15" spans="1:10" ht="15.75" customHeight="1" x14ac:dyDescent="0.4">
      <c r="B15" s="1" t="s">
        <v>173</v>
      </c>
      <c r="C15" s="169">
        <v>6.5000000000000002E-2</v>
      </c>
      <c r="F15" s="109" t="s">
        <v>168</v>
      </c>
    </row>
    <row r="16" spans="1:10" ht="15.75" customHeight="1" thickBot="1" x14ac:dyDescent="0.45">
      <c r="B16" s="120" t="s">
        <v>174</v>
      </c>
      <c r="C16" s="170">
        <v>0.16</v>
      </c>
      <c r="D16" s="260" t="str">
        <f>Inputs!C15</f>
        <v>CN</v>
      </c>
      <c r="F16" s="109" t="s">
        <v>166</v>
      </c>
    </row>
    <row r="17" spans="1:8" ht="15.75" customHeight="1" thickTop="1" x14ac:dyDescent="0.4">
      <c r="B17" s="86" t="s">
        <v>236</v>
      </c>
      <c r="C17" s="172">
        <v>8.6249999999999993E-2</v>
      </c>
      <c r="D17" s="173"/>
    </row>
    <row r="18" spans="1:8" ht="15.75" customHeight="1" x14ac:dyDescent="0.4"/>
    <row r="19" spans="1:8" ht="15.75" customHeight="1" thickBot="1" x14ac:dyDescent="0.45">
      <c r="B19" s="140" t="s">
        <v>260</v>
      </c>
      <c r="C19" s="133" t="s">
        <v>48</v>
      </c>
      <c r="D19" s="86"/>
      <c r="E19" s="86"/>
      <c r="F19" s="140" t="s">
        <v>198</v>
      </c>
      <c r="G19" s="86"/>
      <c r="H19" s="86"/>
    </row>
    <row r="20" spans="1:8" ht="15.75" customHeight="1" thickBot="1" x14ac:dyDescent="0.45">
      <c r="B20" s="270" t="s">
        <v>251</v>
      </c>
      <c r="C20" s="271" t="e">
        <f>C21*C22*C23</f>
        <v>#DIV/0!</v>
      </c>
      <c r="F20" s="86" t="s">
        <v>197</v>
      </c>
      <c r="G20" s="169">
        <v>0.15</v>
      </c>
    </row>
    <row r="21" spans="1:8" ht="15.75" customHeight="1" thickTop="1" x14ac:dyDescent="0.4">
      <c r="B21" s="272" t="s">
        <v>256</v>
      </c>
      <c r="C21" s="283">
        <f>Data!C13</f>
        <v>-0.21041223176965987</v>
      </c>
      <c r="F21" s="86"/>
      <c r="G21" s="29"/>
    </row>
    <row r="22" spans="1:8" ht="15.75" customHeight="1" x14ac:dyDescent="0.4">
      <c r="B22" s="273" t="s">
        <v>263</v>
      </c>
      <c r="C22" s="274" t="e">
        <f>Data!C48</f>
        <v>#DIV/0!</v>
      </c>
      <c r="F22" s="140" t="s">
        <v>171</v>
      </c>
    </row>
    <row r="23" spans="1:8" ht="15.75" customHeight="1" thickBot="1" x14ac:dyDescent="0.45">
      <c r="B23" s="275" t="s">
        <v>269</v>
      </c>
      <c r="C23" s="282" t="e">
        <f>1/Data!C53</f>
        <v>#DIV/0!</v>
      </c>
      <c r="F23" s="138" t="s">
        <v>175</v>
      </c>
      <c r="G23" s="174" t="e">
        <f>G3/(Data!C34*Data!C4/Common_Shares*Exchange_Rate)</f>
        <v>#DIV/0!</v>
      </c>
    </row>
    <row r="24" spans="1:8" ht="15.75" customHeight="1" x14ac:dyDescent="0.4">
      <c r="B24" s="280" t="s">
        <v>257</v>
      </c>
      <c r="C24" s="281">
        <f>Fin_Analysis!I81</f>
        <v>1.4464238544369687E-2</v>
      </c>
      <c r="F24" s="138" t="s">
        <v>241</v>
      </c>
      <c r="G24" s="263">
        <f>G3/(Fin_Analysis!H86*G7)</f>
        <v>-31.765485671379668</v>
      </c>
    </row>
    <row r="25" spans="1:8" ht="15.75" customHeight="1" x14ac:dyDescent="0.4">
      <c r="B25" s="135" t="s">
        <v>258</v>
      </c>
      <c r="C25" s="168">
        <f>Fin_Analysis!I80</f>
        <v>0</v>
      </c>
      <c r="F25" s="138" t="s">
        <v>162</v>
      </c>
      <c r="G25" s="168">
        <f>Fin_Analysis!I88</f>
        <v>-0.63110236433204636</v>
      </c>
    </row>
    <row r="26" spans="1:8" ht="15.75" customHeight="1" x14ac:dyDescent="0.4">
      <c r="B26" s="136" t="s">
        <v>259</v>
      </c>
      <c r="C26" s="168">
        <f>Fin_Analysis!I80+Fin_Analysis!I82</f>
        <v>0</v>
      </c>
      <c r="F26" s="139" t="s">
        <v>179</v>
      </c>
      <c r="G26" s="175">
        <f>Fin_Analysis!H88*Exchange_Rate/G3</f>
        <v>1.9867549668874173E-2</v>
      </c>
    </row>
    <row r="27" spans="1:8" ht="15.75" customHeight="1" x14ac:dyDescent="0.4"/>
    <row r="28" spans="1:8" ht="15.75" customHeight="1" x14ac:dyDescent="0.4">
      <c r="A28" s="5"/>
      <c r="B28" s="89" t="s">
        <v>7</v>
      </c>
      <c r="C28" s="88" t="s">
        <v>158</v>
      </c>
      <c r="D28" s="43" t="s">
        <v>159</v>
      </c>
      <c r="E28" s="58"/>
      <c r="F28" s="53" t="s">
        <v>222</v>
      </c>
      <c r="G28" s="286" t="s">
        <v>239</v>
      </c>
      <c r="H28" s="286"/>
    </row>
    <row r="29" spans="1:8" ht="15.75" customHeight="1" x14ac:dyDescent="0.4">
      <c r="B29" s="86" t="s">
        <v>160</v>
      </c>
      <c r="C29" s="128">
        <f>IF(Fin_Analysis!C108="Profit",Fin_Analysis!D100,IF(Fin_Analysis!C108="Dividend",Fin_Analysis!D103,Fin_Analysis!D106))</f>
        <v>0.54315711209107043</v>
      </c>
      <c r="D29" s="127">
        <f>G29*(1+G20)</f>
        <v>0.70743013487389961</v>
      </c>
      <c r="E29" s="86"/>
      <c r="F29" s="129">
        <f>IF(Fin_Analysis!C108="Profit",Fin_Analysis!F100,IF(Fin_Analysis!C108="Dividend",Fin_Analysis!F103,Fin_Analysis!F106))</f>
        <v>0.63900836716596521</v>
      </c>
      <c r="G29" s="287">
        <f>IF(Fin_Analysis!C108="Profit",Fin_Analysis!I100,IF(Fin_Analysis!C108="Dividend",Fin_Analysis!I103,Fin_Analysis!I106))</f>
        <v>0.61515663902078233</v>
      </c>
      <c r="H29" s="287"/>
    </row>
    <row r="30" spans="1:8" ht="15.75" customHeight="1" x14ac:dyDescent="0.4"/>
    <row r="31" spans="1:8" ht="15.75" customHeight="1" x14ac:dyDescent="0.4">
      <c r="A31" s="5"/>
      <c r="B31" s="6" t="s">
        <v>207</v>
      </c>
      <c r="C31"/>
    </row>
    <row r="32" spans="1:8" ht="15.75" customHeight="1" x14ac:dyDescent="0.4">
      <c r="A32"/>
      <c r="B32" s="193" t="s">
        <v>208</v>
      </c>
      <c r="C32" s="219"/>
    </row>
    <row r="33" spans="1:3" ht="15.75" customHeight="1" x14ac:dyDescent="0.4">
      <c r="A33"/>
      <c r="B33" s="20" t="s">
        <v>209</v>
      </c>
      <c r="C33" s="240" t="str">
        <f>Inputs!C17</f>
        <v>unclear</v>
      </c>
    </row>
    <row r="34" spans="1:3" ht="15.75" customHeight="1" x14ac:dyDescent="0.4">
      <c r="A34"/>
      <c r="B34" s="19" t="s">
        <v>210</v>
      </c>
      <c r="C34" s="220" t="str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Strongly agree</v>
      </c>
    </row>
    <row r="35" spans="1:3" ht="15.75" customHeight="1" x14ac:dyDescent="0.4">
      <c r="A35"/>
      <c r="B35" s="193" t="s">
        <v>211</v>
      </c>
      <c r="C35" s="219"/>
    </row>
    <row r="36" spans="1:3" ht="15.75" customHeight="1" x14ac:dyDescent="0.4">
      <c r="A36"/>
      <c r="B36" s="20" t="s">
        <v>223</v>
      </c>
      <c r="C36" s="240" t="str">
        <f>Inputs!C18</f>
        <v>unclear</v>
      </c>
    </row>
    <row r="37" spans="1:3" ht="15.75" customHeight="1" x14ac:dyDescent="0.4">
      <c r="A37"/>
      <c r="B37" s="20" t="s">
        <v>224</v>
      </c>
      <c r="C37" s="240" t="str">
        <f>Inputs!C19</f>
        <v>unclear</v>
      </c>
    </row>
    <row r="38" spans="1:3" ht="15.75" customHeight="1" x14ac:dyDescent="0.4">
      <c r="A38"/>
      <c r="B38" s="193" t="s">
        <v>212</v>
      </c>
      <c r="C38" s="219"/>
    </row>
    <row r="39" spans="1:3" ht="15.75" customHeight="1" x14ac:dyDescent="0.4">
      <c r="A39"/>
      <c r="B39" s="19" t="s">
        <v>213</v>
      </c>
      <c r="C39" s="240" t="str">
        <f>Inputs!C20</f>
        <v>unclear</v>
      </c>
    </row>
    <row r="40" spans="1:3" ht="15.75" customHeight="1" x14ac:dyDescent="0.4">
      <c r="A40"/>
      <c r="B40" s="1" t="s">
        <v>216</v>
      </c>
      <c r="C40" s="240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214</v>
      </c>
      <c r="C42"/>
    </row>
    <row r="43" spans="1:3" ht="65.650000000000006" x14ac:dyDescent="0.4">
      <c r="A43"/>
      <c r="B43" s="221" t="s">
        <v>215</v>
      </c>
      <c r="C43" s="239" t="str">
        <f>Inputs!C22</f>
        <v>Unclear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disablePrompts="1"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3" zoomScaleNormal="100" workbookViewId="0">
      <pane xSplit="2" topLeftCell="C1" activePane="topRight" state="frozen"/>
      <selection activeCell="A4" sqref="A4"/>
      <selection pane="topRight" activeCell="B55" sqref="B55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46" t="s">
        <v>185</v>
      </c>
      <c r="F2" s="117" t="s">
        <v>188</v>
      </c>
      <c r="G2" s="146" t="s">
        <v>189</v>
      </c>
      <c r="H2" s="145" t="s">
        <v>190</v>
      </c>
      <c r="I2" s="7"/>
      <c r="J2" s="86"/>
      <c r="K2" s="7"/>
      <c r="L2" s="7"/>
      <c r="M2" s="7"/>
    </row>
    <row r="3" spans="1:14" ht="15.75" customHeight="1" x14ac:dyDescent="0.4">
      <c r="A3" s="4"/>
      <c r="B3" s="102" t="s">
        <v>10</v>
      </c>
      <c r="C3" s="198">
        <f>Inputs!C12</f>
        <v>45291</v>
      </c>
      <c r="E3" s="144" t="s">
        <v>186</v>
      </c>
      <c r="F3" s="84" t="str">
        <f>H14</f>
        <v/>
      </c>
      <c r="G3" s="84">
        <f>C14</f>
        <v>-108332</v>
      </c>
      <c r="H3" s="84">
        <v>6</v>
      </c>
      <c r="I3" s="86"/>
      <c r="J3" s="42"/>
      <c r="K3" s="86"/>
      <c r="L3" s="86"/>
      <c r="M3" s="86"/>
    </row>
    <row r="4" spans="1:14" ht="15.75" customHeight="1" x14ac:dyDescent="0.4">
      <c r="A4" s="4"/>
      <c r="B4" s="102" t="s">
        <v>11</v>
      </c>
      <c r="C4" s="126">
        <f>Inputs!C13</f>
        <v>1000</v>
      </c>
      <c r="D4" s="1" t="str">
        <f>Dashboard!G6</f>
        <v>HKD</v>
      </c>
      <c r="E4" s="144" t="s">
        <v>187</v>
      </c>
      <c r="F4" s="92" t="e">
        <f>(G3/F3)^(1/H3)-1</f>
        <v>#VALUE!</v>
      </c>
      <c r="J4" s="86"/>
    </row>
    <row r="5" spans="1:14" ht="15.75" customHeight="1" x14ac:dyDescent="0.4">
      <c r="A5" s="16"/>
      <c r="B5" s="114" t="s">
        <v>128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3" t="s">
        <v>12</v>
      </c>
      <c r="C6" s="197">
        <f>IF(Inputs!C25=""," ",Inputs!C25)</f>
        <v>514856</v>
      </c>
      <c r="D6" s="197">
        <f>IF(Inputs!D25="","",Inputs!D25)</f>
        <v>584543</v>
      </c>
      <c r="E6" s="197" t="str">
        <f>IF(Inputs!E25="","",Inputs!E25)</f>
        <v/>
      </c>
      <c r="F6" s="197" t="str">
        <f>IF(Inputs!F25="","",Inputs!F25)</f>
        <v/>
      </c>
      <c r="G6" s="197" t="str">
        <f>IF(Inputs!G25="","",Inputs!G25)</f>
        <v/>
      </c>
      <c r="H6" s="197" t="str">
        <f>IF(Inputs!H25="","",Inputs!H25)</f>
        <v/>
      </c>
      <c r="I6" s="197" t="str">
        <f>IF(Inputs!I25="","",Inputs!I25)</f>
        <v/>
      </c>
      <c r="J6" s="197" t="str">
        <f>IF(Inputs!J25="","",Inputs!J25)</f>
        <v/>
      </c>
      <c r="K6" s="197" t="str">
        <f>IF(Inputs!K25="","",Inputs!K25)</f>
        <v/>
      </c>
      <c r="L6" s="197" t="str">
        <f>IF(Inputs!L25="","",Inputs!L25)</f>
        <v/>
      </c>
      <c r="M6" s="197" t="str">
        <f>IF(Inputs!M25="","",Inputs!M25)</f>
        <v/>
      </c>
      <c r="N6" s="86"/>
    </row>
    <row r="7" spans="1:14" ht="15.75" customHeight="1" x14ac:dyDescent="0.4">
      <c r="A7" s="4"/>
      <c r="B7" s="95" t="s">
        <v>13</v>
      </c>
      <c r="C7" s="91">
        <f t="shared" ref="C7:M7" si="1">IF(D6="","",C6/D6-1)</f>
        <v>-0.11921620821735956</v>
      </c>
      <c r="D7" s="91" t="str">
        <f t="shared" si="1"/>
        <v/>
      </c>
      <c r="E7" s="91" t="str">
        <f t="shared" si="1"/>
        <v/>
      </c>
      <c r="F7" s="91" t="str">
        <f t="shared" si="1"/>
        <v/>
      </c>
      <c r="G7" s="91" t="str">
        <f t="shared" si="1"/>
        <v/>
      </c>
      <c r="H7" s="91" t="str">
        <f t="shared" si="1"/>
        <v/>
      </c>
      <c r="I7" s="91" t="str">
        <f t="shared" si="1"/>
        <v/>
      </c>
      <c r="J7" s="91" t="str">
        <f t="shared" si="1"/>
        <v/>
      </c>
      <c r="K7" s="91" t="str">
        <f t="shared" si="1"/>
        <v/>
      </c>
      <c r="L7" s="91" t="str">
        <f t="shared" si="1"/>
        <v/>
      </c>
      <c r="M7" s="91" t="str">
        <f t="shared" si="1"/>
        <v/>
      </c>
      <c r="N7" s="86"/>
    </row>
    <row r="8" spans="1:14" ht="15.75" customHeight="1" x14ac:dyDescent="0.4">
      <c r="A8" s="4"/>
      <c r="B8" s="96" t="s">
        <v>102</v>
      </c>
      <c r="C8" s="196">
        <f>IF(Inputs!C26="","",Inputs!C26)</f>
        <v>232905</v>
      </c>
      <c r="D8" s="196">
        <f>IF(Inputs!D26="","",Inputs!D26)</f>
        <v>252590</v>
      </c>
      <c r="E8" s="196" t="str">
        <f>IF(Inputs!E26="","",Inputs!E26)</f>
        <v/>
      </c>
      <c r="F8" s="196" t="str">
        <f>IF(Inputs!F26="","",Inputs!F26)</f>
        <v/>
      </c>
      <c r="G8" s="196" t="str">
        <f>IF(Inputs!G26="","",Inputs!G26)</f>
        <v/>
      </c>
      <c r="H8" s="196" t="str">
        <f>IF(Inputs!H26="","",Inputs!H26)</f>
        <v/>
      </c>
      <c r="I8" s="196" t="str">
        <f>IF(Inputs!I26="","",Inputs!I26)</f>
        <v/>
      </c>
      <c r="J8" s="196" t="str">
        <f>IF(Inputs!J26="","",Inputs!J26)</f>
        <v/>
      </c>
      <c r="K8" s="196" t="str">
        <f>IF(Inputs!K26="","",Inputs!K26)</f>
        <v/>
      </c>
      <c r="L8" s="196" t="str">
        <f>IF(Inputs!L26="","",Inputs!L26)</f>
        <v/>
      </c>
      <c r="M8" s="196" t="str">
        <f>IF(Inputs!M26="","",Inputs!M26)</f>
        <v/>
      </c>
      <c r="N8" s="86"/>
    </row>
    <row r="9" spans="1:14" ht="15.75" customHeight="1" x14ac:dyDescent="0.4">
      <c r="A9" s="4"/>
      <c r="B9" s="97" t="s">
        <v>99</v>
      </c>
      <c r="C9" s="149">
        <f t="shared" ref="C9:M9" si="2">IF(C6="","",(C6-C8))</f>
        <v>281951</v>
      </c>
      <c r="D9" s="149">
        <f t="shared" si="2"/>
        <v>331953</v>
      </c>
      <c r="E9" s="149" t="str">
        <f t="shared" si="2"/>
        <v/>
      </c>
      <c r="F9" s="149" t="str">
        <f t="shared" si="2"/>
        <v/>
      </c>
      <c r="G9" s="149" t="str">
        <f t="shared" si="2"/>
        <v/>
      </c>
      <c r="H9" s="149" t="str">
        <f t="shared" si="2"/>
        <v/>
      </c>
      <c r="I9" s="149" t="str">
        <f t="shared" si="2"/>
        <v/>
      </c>
      <c r="J9" s="149" t="str">
        <f t="shared" si="2"/>
        <v/>
      </c>
      <c r="K9" s="149" t="str">
        <f t="shared" si="2"/>
        <v/>
      </c>
      <c r="L9" s="149" t="str">
        <f t="shared" si="2"/>
        <v/>
      </c>
      <c r="M9" s="149" t="str">
        <f t="shared" si="2"/>
        <v/>
      </c>
      <c r="N9" s="86"/>
    </row>
    <row r="10" spans="1:14" ht="15.75" customHeight="1" x14ac:dyDescent="0.4">
      <c r="A10" s="4"/>
      <c r="B10" s="96" t="s">
        <v>100</v>
      </c>
      <c r="C10" s="196">
        <f>IF(Inputs!C27="","",Inputs!C27)</f>
        <v>390283</v>
      </c>
      <c r="D10" s="196">
        <f>IF(Inputs!D27="","",Inputs!D27)</f>
        <v>477325</v>
      </c>
      <c r="E10" s="196" t="str">
        <f>IF(Inputs!E27="","",Inputs!E27)</f>
        <v/>
      </c>
      <c r="F10" s="196" t="str">
        <f>IF(Inputs!F27="","",Inputs!F27)</f>
        <v/>
      </c>
      <c r="G10" s="196" t="str">
        <f>IF(Inputs!G27="","",Inputs!G27)</f>
        <v/>
      </c>
      <c r="H10" s="196" t="str">
        <f>IF(Inputs!H27="","",Inputs!H27)</f>
        <v/>
      </c>
      <c r="I10" s="196" t="str">
        <f>IF(Inputs!I27="","",Inputs!I27)</f>
        <v/>
      </c>
      <c r="J10" s="196" t="str">
        <f>IF(Inputs!J27="","",Inputs!J27)</f>
        <v/>
      </c>
      <c r="K10" s="196" t="str">
        <f>IF(Inputs!K27="","",Inputs!K27)</f>
        <v/>
      </c>
      <c r="L10" s="196" t="str">
        <f>IF(Inputs!L27="","",Inputs!L27)</f>
        <v/>
      </c>
      <c r="M10" s="196" t="str">
        <f>IF(Inputs!M27="","",Inputs!M27)</f>
        <v/>
      </c>
      <c r="N10" s="86"/>
    </row>
    <row r="11" spans="1:14" ht="15.75" customHeight="1" x14ac:dyDescent="0.4">
      <c r="A11" s="4"/>
      <c r="B11" s="96" t="s">
        <v>103</v>
      </c>
      <c r="C11" s="196" t="str">
        <f>IF(Inputs!C28="","",Inputs!C28)</f>
        <v/>
      </c>
      <c r="D11" s="196" t="str">
        <f>IF(Inputs!D28="","",Inputs!D28)</f>
        <v/>
      </c>
      <c r="E11" s="196" t="str">
        <f>IF(Inputs!E28="","",Inputs!E28)</f>
        <v/>
      </c>
      <c r="F11" s="196" t="str">
        <f>IF(Inputs!F28="","",Inputs!F28)</f>
        <v/>
      </c>
      <c r="G11" s="196" t="str">
        <f>IF(Inputs!G28="","",Inputs!G28)</f>
        <v/>
      </c>
      <c r="H11" s="196" t="str">
        <f>IF(Inputs!H28="","",Inputs!H28)</f>
        <v/>
      </c>
      <c r="I11" s="196" t="str">
        <f>IF(Inputs!I28="","",Inputs!I28)</f>
        <v/>
      </c>
      <c r="J11" s="196" t="str">
        <f>IF(Inputs!J28="","",Inputs!J28)</f>
        <v/>
      </c>
      <c r="K11" s="196" t="str">
        <f>IF(Inputs!K28="","",Inputs!K28)</f>
        <v/>
      </c>
      <c r="L11" s="196" t="str">
        <f>IF(Inputs!L28="","",Inputs!L28)</f>
        <v/>
      </c>
      <c r="M11" s="196" t="str">
        <f>IF(Inputs!M28="","",Inputs!M28)</f>
        <v/>
      </c>
      <c r="N11" s="86"/>
    </row>
    <row r="12" spans="1:14" ht="15.75" customHeight="1" x14ac:dyDescent="0.4">
      <c r="A12" s="4"/>
      <c r="B12" s="98" t="s">
        <v>225</v>
      </c>
      <c r="C12" s="196" t="str">
        <f>IF(Inputs!C30="","",MAX(Inputs!C30,0)/(1-Fin_Analysis!$I$84))</f>
        <v/>
      </c>
      <c r="D12" s="196" t="str">
        <f>IF(Inputs!D30="","",MAX(Inputs!D30,0)/(1-Fin_Analysis!$I$84))</f>
        <v/>
      </c>
      <c r="E12" s="196" t="str">
        <f>IF(Inputs!E30="","",MAX(Inputs!E30,0)/(1-Fin_Analysis!$I$84))</f>
        <v/>
      </c>
      <c r="F12" s="196" t="str">
        <f>IF(Inputs!F30="","",MAX(Inputs!F30,0)/(1-Fin_Analysis!$I$84))</f>
        <v/>
      </c>
      <c r="G12" s="196" t="str">
        <f>IF(Inputs!G30="","",MAX(Inputs!G30,0)/(1-Fin_Analysis!$I$84))</f>
        <v/>
      </c>
      <c r="H12" s="196" t="str">
        <f>IF(Inputs!H30="","",MAX(Inputs!H30,0)/(1-Fin_Analysis!$I$84))</f>
        <v/>
      </c>
      <c r="I12" s="196" t="str">
        <f>IF(Inputs!I30="","",MAX(Inputs!I30,0)/(1-Fin_Analysis!$I$84))</f>
        <v/>
      </c>
      <c r="J12" s="196" t="str">
        <f>IF(Inputs!J30="","",MAX(Inputs!J30,0)/(1-Fin_Analysis!$I$84))</f>
        <v/>
      </c>
      <c r="K12" s="196" t="str">
        <f>IF(Inputs!K30="","",MAX(Inputs!K30,0)/(1-Fin_Analysis!$I$84))</f>
        <v/>
      </c>
      <c r="L12" s="196" t="str">
        <f>IF(Inputs!L30="","",MAX(Inputs!L30,0)/(1-Fin_Analysis!$I$84))</f>
        <v/>
      </c>
      <c r="M12" s="196" t="str">
        <f>IF(Inputs!M30="","",MAX(Inputs!M30,0)/(1-Fin_Analysis!$I$84))</f>
        <v/>
      </c>
      <c r="N12" s="86"/>
    </row>
    <row r="13" spans="1:14" ht="15.75" customHeight="1" x14ac:dyDescent="0.4">
      <c r="A13" s="4"/>
      <c r="B13" s="223" t="s">
        <v>226</v>
      </c>
      <c r="C13" s="224">
        <f t="shared" ref="C13:M13" si="3">IF(C14="","",C14/C6)</f>
        <v>-0.21041223176965987</v>
      </c>
      <c r="D13" s="224">
        <f t="shared" si="3"/>
        <v>-0.24869342375154607</v>
      </c>
      <c r="E13" s="224" t="str">
        <f t="shared" si="3"/>
        <v/>
      </c>
      <c r="F13" s="224" t="str">
        <f t="shared" si="3"/>
        <v/>
      </c>
      <c r="G13" s="224" t="str">
        <f t="shared" si="3"/>
        <v/>
      </c>
      <c r="H13" s="224" t="str">
        <f t="shared" si="3"/>
        <v/>
      </c>
      <c r="I13" s="224" t="str">
        <f t="shared" si="3"/>
        <v/>
      </c>
      <c r="J13" s="224" t="str">
        <f t="shared" si="3"/>
        <v/>
      </c>
      <c r="K13" s="224" t="str">
        <f t="shared" si="3"/>
        <v/>
      </c>
      <c r="L13" s="224" t="str">
        <f t="shared" si="3"/>
        <v/>
      </c>
      <c r="M13" s="224" t="str">
        <f t="shared" si="3"/>
        <v/>
      </c>
      <c r="N13" s="86"/>
    </row>
    <row r="14" spans="1:14" ht="15.75" customHeight="1" x14ac:dyDescent="0.4">
      <c r="A14" s="4"/>
      <c r="B14" s="223" t="s">
        <v>218</v>
      </c>
      <c r="C14" s="225">
        <f>IF(C6="","",C9-C10-MAX(C11,0)-MAX(C12,0))</f>
        <v>-108332</v>
      </c>
      <c r="D14" s="225">
        <f t="shared" ref="D14:M14" si="4">IF(D6="","",D9-D10-MAX(D11,0)-MAX(D12,0))</f>
        <v>-145372</v>
      </c>
      <c r="E14" s="225" t="str">
        <f t="shared" si="4"/>
        <v/>
      </c>
      <c r="F14" s="225" t="str">
        <f t="shared" si="4"/>
        <v/>
      </c>
      <c r="G14" s="225" t="str">
        <f t="shared" si="4"/>
        <v/>
      </c>
      <c r="H14" s="225" t="str">
        <f t="shared" si="4"/>
        <v/>
      </c>
      <c r="I14" s="225" t="str">
        <f t="shared" si="4"/>
        <v/>
      </c>
      <c r="J14" s="225" t="str">
        <f t="shared" si="4"/>
        <v/>
      </c>
      <c r="K14" s="225" t="str">
        <f t="shared" si="4"/>
        <v/>
      </c>
      <c r="L14" s="225" t="str">
        <f t="shared" si="4"/>
        <v/>
      </c>
      <c r="M14" s="225" t="str">
        <f t="shared" si="4"/>
        <v/>
      </c>
      <c r="N14" s="86"/>
    </row>
    <row r="15" spans="1:14" ht="15.75" customHeight="1" x14ac:dyDescent="0.4">
      <c r="A15" s="4"/>
      <c r="B15" s="226" t="s">
        <v>227</v>
      </c>
      <c r="C15" s="227">
        <f>IF(D14="","",IF(ABS(C14+D14)=ABS(C14)+ABS(D14),IF(C14&lt;0,-1,1)*(C14-D14)/D14,"Turn"))</f>
        <v>0.25479459593319209</v>
      </c>
      <c r="D15" s="227" t="str">
        <f t="shared" ref="D15:M15" si="5">IF(E14="","",IF(ABS(D14+E14)=ABS(D14)+ABS(E14),IF(D14&lt;0,-1,1)*(D14-E14)/E14,"Turn"))</f>
        <v/>
      </c>
      <c r="E15" s="227" t="str">
        <f t="shared" si="5"/>
        <v/>
      </c>
      <c r="F15" s="227" t="str">
        <f t="shared" si="5"/>
        <v/>
      </c>
      <c r="G15" s="227" t="str">
        <f t="shared" si="5"/>
        <v/>
      </c>
      <c r="H15" s="227" t="str">
        <f t="shared" si="5"/>
        <v/>
      </c>
      <c r="I15" s="227" t="str">
        <f t="shared" si="5"/>
        <v/>
      </c>
      <c r="J15" s="227" t="str">
        <f t="shared" si="5"/>
        <v/>
      </c>
      <c r="K15" s="227" t="str">
        <f t="shared" si="5"/>
        <v/>
      </c>
      <c r="L15" s="227" t="str">
        <f t="shared" si="5"/>
        <v/>
      </c>
      <c r="M15" s="227" t="str">
        <f t="shared" si="5"/>
        <v/>
      </c>
      <c r="N15" s="86"/>
    </row>
    <row r="16" spans="1:14" ht="15.75" customHeight="1" x14ac:dyDescent="0.4">
      <c r="A16" s="4"/>
      <c r="B16" s="96" t="s">
        <v>106</v>
      </c>
      <c r="C16" s="196" t="str">
        <f>IF(Inputs!C31="","",Inputs!C31)</f>
        <v/>
      </c>
      <c r="D16" s="196" t="str">
        <f>IF(Inputs!D31="","",Inputs!D31)</f>
        <v/>
      </c>
      <c r="E16" s="196" t="str">
        <f>IF(Inputs!E31="","",Inputs!E31)</f>
        <v/>
      </c>
      <c r="F16" s="196" t="str">
        <f>IF(Inputs!F31="","",Inputs!F31)</f>
        <v/>
      </c>
      <c r="G16" s="196" t="str">
        <f>IF(Inputs!G31="","",Inputs!G31)</f>
        <v/>
      </c>
      <c r="H16" s="196" t="str">
        <f>IF(Inputs!H31="","",Inputs!H31)</f>
        <v/>
      </c>
      <c r="I16" s="196" t="str">
        <f>IF(Inputs!I31="","",Inputs!I31)</f>
        <v/>
      </c>
      <c r="J16" s="196" t="str">
        <f>IF(Inputs!J31="","",Inputs!J31)</f>
        <v/>
      </c>
      <c r="K16" s="196" t="str">
        <f>IF(Inputs!K31="","",Inputs!K31)</f>
        <v/>
      </c>
      <c r="L16" s="196" t="str">
        <f>IF(Inputs!L31="","",Inputs!L31)</f>
        <v/>
      </c>
      <c r="M16" s="196" t="str">
        <f>IF(Inputs!M31="","",Inputs!M31)</f>
        <v/>
      </c>
      <c r="N16" s="86"/>
    </row>
    <row r="17" spans="1:14" ht="15.75" customHeight="1" x14ac:dyDescent="0.4">
      <c r="A17" s="4"/>
      <c r="B17" s="96" t="s">
        <v>238</v>
      </c>
      <c r="C17" s="196">
        <f>IF(Inputs!C29="","",Inputs!C29)</f>
        <v>7447</v>
      </c>
      <c r="D17" s="196">
        <f>IF(Inputs!D29="","",Inputs!D29)</f>
        <v>5293</v>
      </c>
      <c r="E17" s="196" t="str">
        <f>IF(Inputs!E29="","",Inputs!E29)</f>
        <v/>
      </c>
      <c r="F17" s="196" t="str">
        <f>IF(Inputs!F29="","",Inputs!F29)</f>
        <v/>
      </c>
      <c r="G17" s="196" t="str">
        <f>IF(Inputs!G29="","",Inputs!G29)</f>
        <v/>
      </c>
      <c r="H17" s="196" t="str">
        <f>IF(Inputs!H29="","",Inputs!H29)</f>
        <v/>
      </c>
      <c r="I17" s="196" t="str">
        <f>IF(Inputs!I29="","",Inputs!I29)</f>
        <v/>
      </c>
      <c r="J17" s="196" t="str">
        <f>IF(Inputs!J29="","",Inputs!J29)</f>
        <v/>
      </c>
      <c r="K17" s="196" t="str">
        <f>IF(Inputs!K29="","",Inputs!K29)</f>
        <v/>
      </c>
      <c r="L17" s="196" t="str">
        <f>IF(Inputs!L29="","",Inputs!L29)</f>
        <v/>
      </c>
      <c r="M17" s="196" t="str">
        <f>IF(Inputs!M29="","",Inputs!M29)</f>
        <v/>
      </c>
      <c r="N17" s="86"/>
    </row>
    <row r="18" spans="1:14" ht="15.75" customHeight="1" x14ac:dyDescent="0.4">
      <c r="A18" s="4"/>
      <c r="B18" s="93" t="s">
        <v>95</v>
      </c>
      <c r="C18" s="150" t="str">
        <f t="shared" ref="C18:M18" si="6">IF(OR(C6="",C19=""),"",C19/C6)</f>
        <v/>
      </c>
      <c r="D18" s="150" t="str">
        <f t="shared" si="6"/>
        <v/>
      </c>
      <c r="E18" s="150" t="str">
        <f t="shared" si="6"/>
        <v/>
      </c>
      <c r="F18" s="150" t="str">
        <f t="shared" si="6"/>
        <v/>
      </c>
      <c r="G18" s="150" t="str">
        <f t="shared" si="6"/>
        <v/>
      </c>
      <c r="H18" s="150" t="str">
        <f t="shared" si="6"/>
        <v/>
      </c>
      <c r="I18" s="150" t="str">
        <f t="shared" si="6"/>
        <v/>
      </c>
      <c r="J18" s="150" t="str">
        <f t="shared" si="6"/>
        <v/>
      </c>
      <c r="K18" s="150" t="str">
        <f t="shared" si="6"/>
        <v/>
      </c>
      <c r="L18" s="150" t="str">
        <f t="shared" si="6"/>
        <v/>
      </c>
      <c r="M18" s="150" t="str">
        <f t="shared" si="6"/>
        <v/>
      </c>
      <c r="N18" s="86"/>
    </row>
    <row r="19" spans="1:14" ht="15.75" customHeight="1" x14ac:dyDescent="0.4">
      <c r="A19" s="4"/>
      <c r="B19" s="96" t="s">
        <v>101</v>
      </c>
      <c r="C19" s="196" t="str">
        <f>IF(Inputs!C32="","",Inputs!C32)</f>
        <v/>
      </c>
      <c r="D19" s="196" t="str">
        <f>IF(Inputs!D32="","",Inputs!D32)</f>
        <v/>
      </c>
      <c r="E19" s="196" t="str">
        <f>IF(Inputs!E32="","",Inputs!E32)</f>
        <v/>
      </c>
      <c r="F19" s="196" t="str">
        <f>IF(Inputs!F32="","",Inputs!F32)</f>
        <v/>
      </c>
      <c r="G19" s="196" t="str">
        <f>IF(Inputs!G32="","",Inputs!G32)</f>
        <v/>
      </c>
      <c r="H19" s="196" t="str">
        <f>IF(Inputs!H32="","",Inputs!H32)</f>
        <v/>
      </c>
      <c r="I19" s="196" t="str">
        <f>IF(Inputs!I32="","",Inputs!I32)</f>
        <v/>
      </c>
      <c r="J19" s="196" t="str">
        <f>IF(Inputs!J32="","",Inputs!J32)</f>
        <v/>
      </c>
      <c r="K19" s="196" t="str">
        <f>IF(Inputs!K32="","",Inputs!K32)</f>
        <v/>
      </c>
      <c r="L19" s="196" t="str">
        <f>IF(Inputs!L32="","",Inputs!L32)</f>
        <v/>
      </c>
      <c r="M19" s="196" t="str">
        <f>IF(Inputs!M32="","",Inputs!M32)</f>
        <v/>
      </c>
      <c r="N19" s="86"/>
    </row>
    <row r="20" spans="1:14" ht="15.75" customHeight="1" x14ac:dyDescent="0.4">
      <c r="A20" s="4"/>
      <c r="B20" s="96" t="s">
        <v>220</v>
      </c>
      <c r="C20" s="150">
        <f t="shared" ref="C20:M20" si="7">IF(C6="","",MAX(C21,0)/C6)</f>
        <v>0</v>
      </c>
      <c r="D20" s="150">
        <f t="shared" si="7"/>
        <v>0</v>
      </c>
      <c r="E20" s="150" t="str">
        <f t="shared" si="7"/>
        <v/>
      </c>
      <c r="F20" s="150" t="str">
        <f t="shared" si="7"/>
        <v/>
      </c>
      <c r="G20" s="150" t="str">
        <f t="shared" si="7"/>
        <v/>
      </c>
      <c r="H20" s="150" t="str">
        <f t="shared" si="7"/>
        <v/>
      </c>
      <c r="I20" s="150" t="str">
        <f t="shared" si="7"/>
        <v/>
      </c>
      <c r="J20" s="150" t="str">
        <f t="shared" si="7"/>
        <v/>
      </c>
      <c r="K20" s="150" t="str">
        <f t="shared" si="7"/>
        <v/>
      </c>
      <c r="L20" s="150" t="str">
        <f t="shared" si="7"/>
        <v/>
      </c>
      <c r="M20" s="150" t="str">
        <f t="shared" si="7"/>
        <v/>
      </c>
      <c r="N20" s="86"/>
    </row>
    <row r="21" spans="1:14" ht="15.75" customHeight="1" x14ac:dyDescent="0.4">
      <c r="A21" s="4"/>
      <c r="B21" s="96" t="s">
        <v>104</v>
      </c>
      <c r="C21" s="196" t="str">
        <f>IF(Inputs!C33="","",Inputs!C33)</f>
        <v/>
      </c>
      <c r="D21" s="196" t="str">
        <f>IF(Inputs!D33="","",Inputs!D33)</f>
        <v/>
      </c>
      <c r="E21" s="196" t="str">
        <f>IF(Inputs!E33="","",Inputs!E33)</f>
        <v/>
      </c>
      <c r="F21" s="196" t="str">
        <f>IF(Inputs!F33="","",Inputs!F33)</f>
        <v/>
      </c>
      <c r="G21" s="196" t="str">
        <f>IF(Inputs!G33="","",Inputs!G33)</f>
        <v/>
      </c>
      <c r="H21" s="196" t="str">
        <f>IF(Inputs!H33="","",Inputs!H33)</f>
        <v/>
      </c>
      <c r="I21" s="196" t="str">
        <f>IF(Inputs!I33="","",Inputs!I33)</f>
        <v/>
      </c>
      <c r="J21" s="196" t="str">
        <f>IF(Inputs!J33="","",Inputs!J33)</f>
        <v/>
      </c>
      <c r="K21" s="196" t="str">
        <f>IF(Inputs!K33="","",Inputs!K33)</f>
        <v/>
      </c>
      <c r="L21" s="196" t="str">
        <f>IF(Inputs!L33="","",Inputs!L33)</f>
        <v/>
      </c>
      <c r="M21" s="196" t="str">
        <f>IF(Inputs!M33="","",Inputs!M33)</f>
        <v/>
      </c>
      <c r="N21" s="86"/>
    </row>
    <row r="22" spans="1:14" ht="15.75" customHeight="1" x14ac:dyDescent="0.4">
      <c r="A22" s="4"/>
      <c r="B22" s="97" t="s">
        <v>108</v>
      </c>
      <c r="C22" s="158">
        <f>IF(C6="","",C14-MAX(C16,0)-MAX(C17,0)-ABS(MAX(C21,0)-MAX(C19,0)))</f>
        <v>-115779</v>
      </c>
      <c r="D22" s="158">
        <f t="shared" ref="D22:M22" si="8">IF(D6="","",D14-MAX(D16,0)-MAX(D17,0)-ABS(MAX(D21,0)-MAX(D19,0)))</f>
        <v>-150665</v>
      </c>
      <c r="E22" s="158" t="str">
        <f t="shared" si="8"/>
        <v/>
      </c>
      <c r="F22" s="158" t="str">
        <f t="shared" si="8"/>
        <v/>
      </c>
      <c r="G22" s="158" t="str">
        <f t="shared" si="8"/>
        <v/>
      </c>
      <c r="H22" s="158" t="str">
        <f t="shared" si="8"/>
        <v/>
      </c>
      <c r="I22" s="158" t="str">
        <f t="shared" si="8"/>
        <v/>
      </c>
      <c r="J22" s="158" t="str">
        <f t="shared" si="8"/>
        <v/>
      </c>
      <c r="K22" s="158" t="str">
        <f t="shared" si="8"/>
        <v/>
      </c>
      <c r="L22" s="158" t="str">
        <f t="shared" si="8"/>
        <v/>
      </c>
      <c r="M22" s="158" t="str">
        <f t="shared" si="8"/>
        <v/>
      </c>
      <c r="N22" s="86"/>
    </row>
    <row r="23" spans="1:14" ht="15.75" customHeight="1" x14ac:dyDescent="0.4">
      <c r="A23" s="4"/>
      <c r="B23" s="99" t="s">
        <v>109</v>
      </c>
      <c r="C23" s="151">
        <f t="shared" ref="C23:M23" si="9">IF(C6="","",C24/C6)</f>
        <v>-0.16865735273552215</v>
      </c>
      <c r="D23" s="151">
        <f t="shared" si="9"/>
        <v>-0.19331127051388863</v>
      </c>
      <c r="E23" s="151" t="str">
        <f t="shared" si="9"/>
        <v/>
      </c>
      <c r="F23" s="151" t="str">
        <f t="shared" si="9"/>
        <v/>
      </c>
      <c r="G23" s="151" t="str">
        <f t="shared" si="9"/>
        <v/>
      </c>
      <c r="H23" s="151" t="str">
        <f t="shared" si="9"/>
        <v/>
      </c>
      <c r="I23" s="151" t="str">
        <f t="shared" si="9"/>
        <v/>
      </c>
      <c r="J23" s="151" t="str">
        <f t="shared" si="9"/>
        <v/>
      </c>
      <c r="K23" s="151" t="str">
        <f t="shared" si="9"/>
        <v/>
      </c>
      <c r="L23" s="151" t="str">
        <f t="shared" si="9"/>
        <v/>
      </c>
      <c r="M23" s="151" t="str">
        <f t="shared" si="9"/>
        <v/>
      </c>
      <c r="N23" s="86"/>
    </row>
    <row r="24" spans="1:14" ht="15.75" customHeight="1" x14ac:dyDescent="0.4">
      <c r="A24" s="4"/>
      <c r="B24" s="100" t="s">
        <v>110</v>
      </c>
      <c r="C24" s="152">
        <f>IF(C6="","",C22*(1-Fin_Analysis!$I$84))</f>
        <v>-86834.25</v>
      </c>
      <c r="D24" s="77">
        <f>IF(D6="","",D22*(1-Fin_Analysis!$I$84))</f>
        <v>-112998.75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6"/>
    </row>
    <row r="25" spans="1:14" ht="15.75" customHeight="1" thickBot="1" x14ac:dyDescent="0.45">
      <c r="A25" s="4"/>
      <c r="B25" s="229" t="s">
        <v>123</v>
      </c>
      <c r="C25" s="228">
        <f>IF(D24="","",IF(ABS(C24+D24)=ABS(C24)+ABS(D24),IF(C24&lt;0,-1,1)*(C24-D24)/D24,"Turn"))</f>
        <v>0.23154680914611886</v>
      </c>
      <c r="D25" s="228" t="str">
        <f t="shared" ref="D25:M25" si="10">IF(E24="","",IF(ABS(D24+E24)=ABS(D24)+ABS(E24),IF(D24&lt;0,-1,1)*(D24-E24)/E24,"Turn"))</f>
        <v/>
      </c>
      <c r="E25" s="228" t="str">
        <f t="shared" si="10"/>
        <v/>
      </c>
      <c r="F25" s="228" t="str">
        <f t="shared" si="10"/>
        <v/>
      </c>
      <c r="G25" s="228" t="str">
        <f t="shared" si="10"/>
        <v/>
      </c>
      <c r="H25" s="228" t="str">
        <f t="shared" si="10"/>
        <v/>
      </c>
      <c r="I25" s="228" t="str">
        <f t="shared" si="10"/>
        <v/>
      </c>
      <c r="J25" s="228" t="str">
        <f t="shared" si="10"/>
        <v/>
      </c>
      <c r="K25" s="228" t="str">
        <f t="shared" si="10"/>
        <v/>
      </c>
      <c r="L25" s="228" t="str">
        <f t="shared" si="10"/>
        <v/>
      </c>
      <c r="M25" s="228" t="str">
        <f t="shared" si="10"/>
        <v/>
      </c>
      <c r="N25" s="86"/>
    </row>
    <row r="26" spans="1:14" ht="15.75" customHeight="1" thickTop="1" x14ac:dyDescent="0.4">
      <c r="A26" s="16"/>
      <c r="B26" s="113" t="s">
        <v>129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6"/>
    </row>
    <row r="27" spans="1:14" ht="15.75" customHeight="1" x14ac:dyDescent="0.4">
      <c r="A27" s="4"/>
      <c r="B27" s="93" t="s">
        <v>14</v>
      </c>
      <c r="C27" s="65">
        <f>IF(C34="","",C34+C30)</f>
        <v>0</v>
      </c>
      <c r="D27" s="65" t="str">
        <f>IF(D34="","",D34+D30)</f>
        <v/>
      </c>
      <c r="E27" s="65" t="str">
        <f t="shared" ref="E27:M27" si="20">IF(E34="","",E34+E30)</f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6"/>
    </row>
    <row r="28" spans="1:14" ht="15.75" customHeight="1" x14ac:dyDescent="0.4">
      <c r="A28" s="4"/>
      <c r="B28" s="93" t="s">
        <v>112</v>
      </c>
      <c r="C28" s="65">
        <f>Fin_Analysis!C13</f>
        <v>144478</v>
      </c>
      <c r="D28" s="196" t="str">
        <f>IF(Inputs!D35="","",Inputs!D35)</f>
        <v/>
      </c>
      <c r="E28" s="196" t="str">
        <f>IF(Inputs!E35="","",Inputs!E35)</f>
        <v/>
      </c>
      <c r="F28" s="196" t="str">
        <f>IF(Inputs!F35="","",Inputs!F35)</f>
        <v/>
      </c>
      <c r="G28" s="196" t="str">
        <f>IF(Inputs!G35="","",Inputs!G35)</f>
        <v/>
      </c>
      <c r="H28" s="196" t="str">
        <f>IF(Inputs!H35="","",Inputs!H35)</f>
        <v/>
      </c>
      <c r="I28" s="196" t="str">
        <f>IF(Inputs!I35="","",Inputs!I35)</f>
        <v/>
      </c>
      <c r="J28" s="196" t="str">
        <f>IF(Inputs!J35="","",Inputs!J35)</f>
        <v/>
      </c>
      <c r="K28" s="196" t="str">
        <f>IF(Inputs!K35="","",Inputs!K35)</f>
        <v/>
      </c>
      <c r="L28" s="196" t="str">
        <f>IF(Inputs!L35="","",Inputs!L35)</f>
        <v/>
      </c>
      <c r="M28" s="196" t="str">
        <f>IF(Inputs!M35="","",Inputs!M35)</f>
        <v/>
      </c>
      <c r="N28" s="86"/>
    </row>
    <row r="29" spans="1:14" ht="15.75" customHeight="1" x14ac:dyDescent="0.4">
      <c r="A29" s="4"/>
      <c r="B29" s="93" t="s">
        <v>141</v>
      </c>
      <c r="C29" s="65">
        <f>Fin_Analysis!C18</f>
        <v>0</v>
      </c>
      <c r="D29" s="196" t="str">
        <f>IF(Inputs!D36="","",Inputs!D36)</f>
        <v/>
      </c>
      <c r="E29" s="196" t="str">
        <f>IF(Inputs!E36="","",Inputs!E36)</f>
        <v/>
      </c>
      <c r="F29" s="196" t="str">
        <f>IF(Inputs!F36="","",Inputs!F36)</f>
        <v/>
      </c>
      <c r="G29" s="196" t="str">
        <f>IF(Inputs!G36="","",Inputs!G36)</f>
        <v/>
      </c>
      <c r="H29" s="196" t="str">
        <f>IF(Inputs!H36="","",Inputs!H36)</f>
        <v/>
      </c>
      <c r="I29" s="196" t="str">
        <f>IF(Inputs!I36="","",Inputs!I36)</f>
        <v/>
      </c>
      <c r="J29" s="196" t="str">
        <f>IF(Inputs!J36="","",Inputs!J36)</f>
        <v/>
      </c>
      <c r="K29" s="196" t="str">
        <f>IF(Inputs!K36="","",Inputs!K36)</f>
        <v/>
      </c>
      <c r="L29" s="196" t="str">
        <f>IF(Inputs!L36="","",Inputs!L36)</f>
        <v/>
      </c>
      <c r="M29" s="196" t="str">
        <f>IF(Inputs!M36="","",Inputs!M36)</f>
        <v/>
      </c>
      <c r="N29" s="86"/>
    </row>
    <row r="30" spans="1:14" ht="15.75" customHeight="1" x14ac:dyDescent="0.4">
      <c r="A30" s="4"/>
      <c r="B30" s="93" t="s">
        <v>261</v>
      </c>
      <c r="C30" s="65">
        <f>Inputs!C37</f>
        <v>0</v>
      </c>
      <c r="D30" s="196" t="str">
        <f>IF(Inputs!D37="","",Inputs!D37)</f>
        <v/>
      </c>
      <c r="E30" s="196" t="str">
        <f>IF(Inputs!E37="","",Inputs!E37)</f>
        <v/>
      </c>
      <c r="F30" s="196" t="str">
        <f>IF(Inputs!F37="","",Inputs!F37)</f>
        <v/>
      </c>
      <c r="G30" s="196" t="str">
        <f>IF(Inputs!G37="","",Inputs!G37)</f>
        <v/>
      </c>
      <c r="H30" s="196" t="str">
        <f>IF(Inputs!H37="","",Inputs!H37)</f>
        <v/>
      </c>
      <c r="I30" s="196" t="str">
        <f>IF(Inputs!I37="","",Inputs!I37)</f>
        <v/>
      </c>
      <c r="J30" s="196" t="str">
        <f>IF(Inputs!J37="","",Inputs!J37)</f>
        <v/>
      </c>
      <c r="K30" s="196" t="str">
        <f>IF(Inputs!K37="","",Inputs!K37)</f>
        <v/>
      </c>
      <c r="L30" s="196" t="str">
        <f>IF(Inputs!L37="","",Inputs!L37)</f>
        <v/>
      </c>
      <c r="M30" s="196" t="str">
        <f>IF(Inputs!M37="","",Inputs!M37)</f>
        <v/>
      </c>
      <c r="N30" s="86"/>
    </row>
    <row r="31" spans="1:14" ht="15.5" customHeight="1" x14ac:dyDescent="0.4">
      <c r="A31" s="4"/>
      <c r="B31" s="93" t="s">
        <v>17</v>
      </c>
      <c r="C31" s="65">
        <f>Fin_Analysis!I15</f>
        <v>14455</v>
      </c>
      <c r="D31" s="196" t="str">
        <f>IF(Inputs!D39="","",Inputs!D39)</f>
        <v/>
      </c>
      <c r="E31" s="196" t="str">
        <f>IF(Inputs!E39="","",Inputs!E39)</f>
        <v/>
      </c>
      <c r="F31" s="196" t="str">
        <f>IF(Inputs!F39="","",Inputs!F39)</f>
        <v/>
      </c>
      <c r="G31" s="196" t="str">
        <f>IF(Inputs!G39="","",Inputs!G39)</f>
        <v/>
      </c>
      <c r="H31" s="196" t="str">
        <f>IF(Inputs!H39="","",Inputs!H39)</f>
        <v/>
      </c>
      <c r="I31" s="196" t="str">
        <f>IF(Inputs!I39="","",Inputs!I39)</f>
        <v/>
      </c>
      <c r="J31" s="196" t="str">
        <f>IF(Inputs!J39="","",Inputs!J39)</f>
        <v/>
      </c>
      <c r="K31" s="196" t="str">
        <f>IF(Inputs!K39="","",Inputs!K39)</f>
        <v/>
      </c>
      <c r="L31" s="196" t="str">
        <f>IF(Inputs!L39="","",Inputs!L39)</f>
        <v/>
      </c>
      <c r="M31" s="196" t="str">
        <f>IF(Inputs!M39="","",Inputs!M39)</f>
        <v/>
      </c>
      <c r="N31" s="86"/>
    </row>
    <row r="32" spans="1:14" ht="15.75" customHeight="1" x14ac:dyDescent="0.4">
      <c r="A32" s="4"/>
      <c r="B32" s="93" t="s">
        <v>18</v>
      </c>
      <c r="C32" s="65">
        <f>Fin_Analysis!I34</f>
        <v>95198</v>
      </c>
      <c r="D32" s="196" t="str">
        <f>IF(Inputs!D40="","",Inputs!D40)</f>
        <v/>
      </c>
      <c r="E32" s="196" t="str">
        <f>IF(Inputs!E40="","",Inputs!E40)</f>
        <v/>
      </c>
      <c r="F32" s="196" t="str">
        <f>IF(Inputs!F40="","",Inputs!F40)</f>
        <v/>
      </c>
      <c r="G32" s="196" t="str">
        <f>IF(Inputs!G40="","",Inputs!G40)</f>
        <v/>
      </c>
      <c r="H32" s="196" t="str">
        <f>IF(Inputs!H40="","",Inputs!H40)</f>
        <v/>
      </c>
      <c r="I32" s="196" t="str">
        <f>IF(Inputs!I40="","",Inputs!I40)</f>
        <v/>
      </c>
      <c r="J32" s="196" t="str">
        <f>IF(Inputs!J40="","",Inputs!J40)</f>
        <v/>
      </c>
      <c r="K32" s="196" t="str">
        <f>IF(Inputs!K40="","",Inputs!K40)</f>
        <v/>
      </c>
      <c r="L32" s="196" t="str">
        <f>IF(Inputs!L40="","",Inputs!L40)</f>
        <v/>
      </c>
      <c r="M32" s="196" t="str">
        <f>IF(Inputs!M40="","",Inputs!M40)</f>
        <v/>
      </c>
      <c r="N32" s="86"/>
    </row>
    <row r="33" spans="1:14" ht="15.75" customHeight="1" x14ac:dyDescent="0.4">
      <c r="A33" s="4"/>
      <c r="B33" s="93" t="s">
        <v>19</v>
      </c>
      <c r="C33" s="77">
        <f t="shared" ref="C33" si="21">IF(OR(C31="",C32=""),"",C31+C32)</f>
        <v>109653</v>
      </c>
      <c r="D33" s="77" t="str">
        <f t="shared" ref="D33" si="22">IF(OR(D31="",D32=""),"",D31+D32)</f>
        <v/>
      </c>
      <c r="E33" s="77" t="str">
        <f t="shared" ref="E33" si="23">IF(OR(E31="",E32=""),"",E31+E32)</f>
        <v/>
      </c>
      <c r="F33" s="77" t="str">
        <f t="shared" ref="F33" si="24">IF(OR(F31="",F32=""),"",F31+F32)</f>
        <v/>
      </c>
      <c r="G33" s="77" t="str">
        <f t="shared" ref="G33" si="25">IF(OR(G31="",G32=""),"",G31+G32)</f>
        <v/>
      </c>
      <c r="H33" s="77" t="str">
        <f t="shared" ref="H33" si="26">IF(OR(H31="",H32=""),"",H31+H32)</f>
        <v/>
      </c>
      <c r="I33" s="77" t="str">
        <f t="shared" ref="I33" si="27">IF(OR(I31="",I32=""),"",I31+I32)</f>
        <v/>
      </c>
      <c r="J33" s="77" t="str">
        <f t="shared" ref="J33" si="28">IF(OR(J31="",J32=""),"",J31+J32)</f>
        <v/>
      </c>
      <c r="K33" s="77" t="str">
        <f t="shared" ref="K33" si="29">IF(OR(K31="",K32=""),"",K31+K32)</f>
        <v/>
      </c>
      <c r="L33" s="77" t="str">
        <f t="shared" ref="L33" si="30">IF(OR(L31="",L32=""),"",L31+L32)</f>
        <v/>
      </c>
      <c r="M33" s="77" t="str">
        <f t="shared" ref="M33" si="31">IF(OR(M31="",M32=""),"",M31+M32)</f>
        <v/>
      </c>
      <c r="N33" s="86"/>
    </row>
    <row r="34" spans="1:14" ht="15.75" customHeight="1" x14ac:dyDescent="0.4">
      <c r="A34" s="4"/>
      <c r="B34" s="93" t="s">
        <v>132</v>
      </c>
      <c r="C34" s="65">
        <f>Inputs!C41</f>
        <v>0</v>
      </c>
      <c r="D34" s="196" t="str">
        <f>IF(Inputs!D41="","",Inputs!D41)</f>
        <v/>
      </c>
      <c r="E34" s="196" t="str">
        <f>IF(Inputs!E41="","",Inputs!E41)</f>
        <v/>
      </c>
      <c r="F34" s="196" t="str">
        <f>IF(Inputs!F41="","",Inputs!F41)</f>
        <v/>
      </c>
      <c r="G34" s="196" t="str">
        <f>IF(Inputs!G41="","",Inputs!G41)</f>
        <v/>
      </c>
      <c r="H34" s="196" t="str">
        <f>IF(Inputs!H41="","",Inputs!H41)</f>
        <v/>
      </c>
      <c r="I34" s="196" t="str">
        <f>IF(Inputs!I41="","",Inputs!I41)</f>
        <v/>
      </c>
      <c r="J34" s="196" t="str">
        <f>IF(Inputs!J41="","",Inputs!J41)</f>
        <v/>
      </c>
      <c r="K34" s="196" t="str">
        <f>IF(Inputs!K41="","",Inputs!K41)</f>
        <v/>
      </c>
      <c r="L34" s="196" t="str">
        <f>IF(Inputs!L41="","",Inputs!L41)</f>
        <v/>
      </c>
      <c r="M34" s="196" t="str">
        <f>IF(Inputs!M41="","",Inputs!M41)</f>
        <v/>
      </c>
      <c r="N34" s="86"/>
    </row>
    <row r="35" spans="1:14" ht="15.75" customHeight="1" x14ac:dyDescent="0.4">
      <c r="A35" s="4"/>
      <c r="B35" s="93" t="s">
        <v>133</v>
      </c>
      <c r="C35" s="65">
        <f>Inputs!C42</f>
        <v>0</v>
      </c>
      <c r="D35" s="196" t="str">
        <f>IF(Inputs!D42="","",Inputs!D42)</f>
        <v/>
      </c>
      <c r="E35" s="196" t="str">
        <f>IF(Inputs!E42="","",Inputs!E42)</f>
        <v/>
      </c>
      <c r="F35" s="196" t="str">
        <f>IF(Inputs!F42="","",Inputs!F42)</f>
        <v/>
      </c>
      <c r="G35" s="196" t="str">
        <f>IF(Inputs!G42="","",Inputs!G42)</f>
        <v/>
      </c>
      <c r="H35" s="196" t="str">
        <f>IF(Inputs!H42="","",Inputs!H42)</f>
        <v/>
      </c>
      <c r="I35" s="196" t="str">
        <f>IF(Inputs!I42="","",Inputs!I42)</f>
        <v/>
      </c>
      <c r="J35" s="196" t="str">
        <f>IF(Inputs!J42="","",Inputs!J42)</f>
        <v/>
      </c>
      <c r="K35" s="196" t="str">
        <f>IF(Inputs!K42="","",Inputs!K42)</f>
        <v/>
      </c>
      <c r="L35" s="196" t="str">
        <f>IF(Inputs!L42="","",Inputs!L42)</f>
        <v/>
      </c>
      <c r="M35" s="196" t="str">
        <f>IF(Inputs!M42="","",Inputs!M42)</f>
        <v/>
      </c>
      <c r="N35" s="86"/>
    </row>
    <row r="36" spans="1:14" ht="15.75" customHeight="1" x14ac:dyDescent="0.4">
      <c r="A36" s="4"/>
      <c r="B36" s="93" t="s">
        <v>131</v>
      </c>
      <c r="C36" s="65">
        <f>Inputs!C40</f>
        <v>0</v>
      </c>
      <c r="D36" s="196" t="str">
        <f>IF(Inputs!D43="","",Inputs!D43)</f>
        <v/>
      </c>
      <c r="E36" s="196" t="str">
        <f>IF(Inputs!E43="","",Inputs!E43)</f>
        <v/>
      </c>
      <c r="F36" s="196" t="str">
        <f>IF(Inputs!F43="","",Inputs!F43)</f>
        <v/>
      </c>
      <c r="G36" s="196" t="str">
        <f>IF(Inputs!G43="","",Inputs!G43)</f>
        <v/>
      </c>
      <c r="H36" s="196" t="str">
        <f>IF(Inputs!H43="","",Inputs!H43)</f>
        <v/>
      </c>
      <c r="I36" s="196" t="str">
        <f>IF(Inputs!I43="","",Inputs!I43)</f>
        <v/>
      </c>
      <c r="J36" s="196" t="str">
        <f>IF(Inputs!J43="","",Inputs!J43)</f>
        <v/>
      </c>
      <c r="K36" s="196" t="str">
        <f>IF(Inputs!K43="","",Inputs!K43)</f>
        <v/>
      </c>
      <c r="L36" s="196" t="str">
        <f>IF(Inputs!L43="","",Inputs!L43)</f>
        <v/>
      </c>
      <c r="M36" s="196" t="str">
        <f>IF(Inputs!M43="","",Inputs!M43)</f>
        <v/>
      </c>
      <c r="N36" s="86"/>
    </row>
    <row r="37" spans="1:14" ht="15.75" customHeight="1" x14ac:dyDescent="0.4">
      <c r="A37" s="4"/>
      <c r="B37" s="93" t="s">
        <v>135</v>
      </c>
      <c r="C37" s="65">
        <f>Fin_Analysis!C68</f>
        <v>-3378425</v>
      </c>
      <c r="D37" s="65" t="str">
        <f t="shared" ref="D37:M37" si="32">IF(D36="","",D27-D36)</f>
        <v/>
      </c>
      <c r="E37" s="65" t="str">
        <f t="shared" si="32"/>
        <v/>
      </c>
      <c r="F37" s="65" t="str">
        <f t="shared" si="32"/>
        <v/>
      </c>
      <c r="G37" s="65" t="str">
        <f t="shared" si="32"/>
        <v/>
      </c>
      <c r="H37" s="65" t="str">
        <f t="shared" si="32"/>
        <v/>
      </c>
      <c r="I37" s="65" t="str">
        <f t="shared" si="32"/>
        <v/>
      </c>
      <c r="J37" s="65" t="str">
        <f t="shared" si="32"/>
        <v/>
      </c>
      <c r="K37" s="65" t="str">
        <f t="shared" si="32"/>
        <v/>
      </c>
      <c r="L37" s="65" t="str">
        <f t="shared" si="32"/>
        <v/>
      </c>
      <c r="M37" s="65" t="str">
        <f t="shared" si="32"/>
        <v/>
      </c>
      <c r="N37" s="86"/>
    </row>
    <row r="38" spans="1:14" ht="15.75" customHeight="1" x14ac:dyDescent="0.4">
      <c r="A38" s="4"/>
      <c r="B38" s="97" t="s">
        <v>149</v>
      </c>
      <c r="C38" s="153" t="e">
        <f>IF(C6="","",C14/MAX(C37,0))</f>
        <v>#DIV/0!</v>
      </c>
      <c r="D38" s="153" t="e">
        <f>IF(D6="","",D14/MAX(D37,0))</f>
        <v>#DIV/0!</v>
      </c>
      <c r="E38" s="153" t="str">
        <f>IF(E6="","",E14/MAX(E37,0))</f>
        <v/>
      </c>
      <c r="F38" s="153" t="str">
        <f t="shared" ref="F38:M38" si="33">IF(F37="","",F14/F37)</f>
        <v/>
      </c>
      <c r="G38" s="153" t="str">
        <f t="shared" si="33"/>
        <v/>
      </c>
      <c r="H38" s="153" t="str">
        <f t="shared" si="33"/>
        <v/>
      </c>
      <c r="I38" s="153" t="str">
        <f t="shared" si="33"/>
        <v/>
      </c>
      <c r="J38" s="153" t="str">
        <f t="shared" si="33"/>
        <v/>
      </c>
      <c r="K38" s="153" t="str">
        <f t="shared" si="33"/>
        <v/>
      </c>
      <c r="L38" s="153" t="str">
        <f t="shared" si="33"/>
        <v/>
      </c>
      <c r="M38" s="153" t="str">
        <f t="shared" si="33"/>
        <v/>
      </c>
      <c r="N38" s="86"/>
    </row>
    <row r="39" spans="1:14" ht="15.75" customHeight="1" x14ac:dyDescent="0.4">
      <c r="A39" s="16"/>
      <c r="B39" s="55" t="s">
        <v>246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86"/>
    </row>
    <row r="40" spans="1:14" ht="15.75" customHeight="1" x14ac:dyDescent="0.4">
      <c r="A40" s="4"/>
      <c r="B40" s="94" t="s">
        <v>94</v>
      </c>
      <c r="C40" s="154">
        <f t="shared" ref="C40:M40" si="34">IF(C6="","",C8/C6)</f>
        <v>0.45236920614696147</v>
      </c>
      <c r="D40" s="154">
        <f t="shared" si="34"/>
        <v>0.43211534480782421</v>
      </c>
      <c r="E40" s="154" t="str">
        <f t="shared" si="34"/>
        <v/>
      </c>
      <c r="F40" s="154" t="str">
        <f t="shared" si="34"/>
        <v/>
      </c>
      <c r="G40" s="154" t="str">
        <f t="shared" si="34"/>
        <v/>
      </c>
      <c r="H40" s="154" t="str">
        <f t="shared" si="34"/>
        <v/>
      </c>
      <c r="I40" s="154" t="str">
        <f t="shared" si="34"/>
        <v/>
      </c>
      <c r="J40" s="154" t="str">
        <f t="shared" si="34"/>
        <v/>
      </c>
      <c r="K40" s="154" t="str">
        <f t="shared" si="34"/>
        <v/>
      </c>
      <c r="L40" s="154" t="str">
        <f t="shared" si="34"/>
        <v/>
      </c>
      <c r="M40" s="154" t="str">
        <f t="shared" si="34"/>
        <v/>
      </c>
      <c r="N40" s="86"/>
    </row>
    <row r="41" spans="1:14" ht="15.75" customHeight="1" x14ac:dyDescent="0.4">
      <c r="A41" s="4"/>
      <c r="B41" s="93" t="s">
        <v>219</v>
      </c>
      <c r="C41" s="151">
        <f t="shared" ref="C41:M41" si="35">IF(C6="","",(C10+MAX(C11,0))/C6)</f>
        <v>0.75804302562269843</v>
      </c>
      <c r="D41" s="151">
        <f t="shared" si="35"/>
        <v>0.81657807894372181</v>
      </c>
      <c r="E41" s="151" t="str">
        <f t="shared" si="35"/>
        <v/>
      </c>
      <c r="F41" s="151" t="str">
        <f t="shared" si="35"/>
        <v/>
      </c>
      <c r="G41" s="151" t="str">
        <f t="shared" si="35"/>
        <v/>
      </c>
      <c r="H41" s="151" t="str">
        <f t="shared" si="35"/>
        <v/>
      </c>
      <c r="I41" s="151" t="str">
        <f t="shared" si="35"/>
        <v/>
      </c>
      <c r="J41" s="151" t="str">
        <f t="shared" si="35"/>
        <v/>
      </c>
      <c r="K41" s="151" t="str">
        <f t="shared" si="35"/>
        <v/>
      </c>
      <c r="L41" s="151" t="str">
        <f t="shared" si="35"/>
        <v/>
      </c>
      <c r="M41" s="151" t="str">
        <f t="shared" si="35"/>
        <v/>
      </c>
      <c r="N41" s="86"/>
    </row>
    <row r="42" spans="1:14" ht="15.75" customHeight="1" x14ac:dyDescent="0.4">
      <c r="A42" s="4"/>
      <c r="B42" s="93" t="s">
        <v>105</v>
      </c>
      <c r="C42" s="151">
        <f t="shared" ref="C42:M42" si="36">IF(C6="","",MAX(C16,0)/C6)</f>
        <v>0</v>
      </c>
      <c r="D42" s="151">
        <f t="shared" si="36"/>
        <v>0</v>
      </c>
      <c r="E42" s="151" t="str">
        <f t="shared" si="36"/>
        <v/>
      </c>
      <c r="F42" s="151" t="str">
        <f t="shared" si="36"/>
        <v/>
      </c>
      <c r="G42" s="151" t="str">
        <f t="shared" si="36"/>
        <v/>
      </c>
      <c r="H42" s="151" t="str">
        <f t="shared" si="36"/>
        <v/>
      </c>
      <c r="I42" s="151" t="str">
        <f t="shared" si="36"/>
        <v/>
      </c>
      <c r="J42" s="151" t="str">
        <f t="shared" si="36"/>
        <v/>
      </c>
      <c r="K42" s="151" t="str">
        <f t="shared" si="36"/>
        <v/>
      </c>
      <c r="L42" s="151" t="str">
        <f t="shared" si="36"/>
        <v/>
      </c>
      <c r="M42" s="151" t="str">
        <f t="shared" si="36"/>
        <v/>
      </c>
      <c r="N42" s="86"/>
    </row>
    <row r="43" spans="1:14" ht="15.75" customHeight="1" x14ac:dyDescent="0.4">
      <c r="A43" s="4"/>
      <c r="B43" s="93" t="s">
        <v>117</v>
      </c>
      <c r="C43" s="151">
        <f t="shared" ref="C43:M43" si="37">IF(C6="","",MAX(C17,0)/C6)</f>
        <v>1.4464238544369687E-2</v>
      </c>
      <c r="D43" s="151">
        <f t="shared" si="37"/>
        <v>9.0549369336387579E-3</v>
      </c>
      <c r="E43" s="151" t="str">
        <f t="shared" si="37"/>
        <v/>
      </c>
      <c r="F43" s="151" t="str">
        <f t="shared" si="37"/>
        <v/>
      </c>
      <c r="G43" s="151" t="str">
        <f t="shared" si="37"/>
        <v/>
      </c>
      <c r="H43" s="151" t="str">
        <f t="shared" si="37"/>
        <v/>
      </c>
      <c r="I43" s="151" t="str">
        <f t="shared" si="37"/>
        <v/>
      </c>
      <c r="J43" s="151" t="str">
        <f t="shared" si="37"/>
        <v/>
      </c>
      <c r="K43" s="151" t="str">
        <f t="shared" si="37"/>
        <v/>
      </c>
      <c r="L43" s="151" t="str">
        <f t="shared" si="37"/>
        <v/>
      </c>
      <c r="M43" s="151" t="str">
        <f t="shared" si="37"/>
        <v/>
      </c>
      <c r="N43" s="86"/>
    </row>
    <row r="44" spans="1:14" ht="15.75" customHeight="1" x14ac:dyDescent="0.4">
      <c r="A44" s="4"/>
      <c r="B44" s="93" t="s">
        <v>124</v>
      </c>
      <c r="C44" s="151">
        <f t="shared" ref="C44:M44" si="38">IF(C6="","",MAX(C12,0)/C6)</f>
        <v>0</v>
      </c>
      <c r="D44" s="151">
        <f t="shared" si="38"/>
        <v>0</v>
      </c>
      <c r="E44" s="151" t="str">
        <f t="shared" si="38"/>
        <v/>
      </c>
      <c r="F44" s="151" t="str">
        <f t="shared" si="38"/>
        <v/>
      </c>
      <c r="G44" s="151" t="str">
        <f t="shared" si="38"/>
        <v/>
      </c>
      <c r="H44" s="151" t="str">
        <f t="shared" si="38"/>
        <v/>
      </c>
      <c r="I44" s="151" t="str">
        <f t="shared" si="38"/>
        <v/>
      </c>
      <c r="J44" s="151" t="str">
        <f t="shared" si="38"/>
        <v/>
      </c>
      <c r="K44" s="151" t="str">
        <f t="shared" si="38"/>
        <v/>
      </c>
      <c r="L44" s="151" t="str">
        <f t="shared" si="38"/>
        <v/>
      </c>
      <c r="M44" s="151" t="str">
        <f t="shared" si="38"/>
        <v/>
      </c>
      <c r="N44" s="86"/>
    </row>
    <row r="45" spans="1:14" ht="15.75" customHeight="1" x14ac:dyDescent="0.4">
      <c r="A45" s="4"/>
      <c r="B45" s="93" t="s">
        <v>221</v>
      </c>
      <c r="C45" s="151">
        <f t="shared" ref="C45:M45" si="39">IF(C6="","",ABS(MAX(C21,0)-MAX(C19,0))/C6)</f>
        <v>0</v>
      </c>
      <c r="D45" s="151">
        <f t="shared" si="39"/>
        <v>0</v>
      </c>
      <c r="E45" s="151" t="str">
        <f t="shared" si="39"/>
        <v/>
      </c>
      <c r="F45" s="151" t="str">
        <f t="shared" si="39"/>
        <v/>
      </c>
      <c r="G45" s="151" t="str">
        <f t="shared" si="39"/>
        <v/>
      </c>
      <c r="H45" s="151" t="str">
        <f t="shared" si="39"/>
        <v/>
      </c>
      <c r="I45" s="151" t="str">
        <f t="shared" si="39"/>
        <v/>
      </c>
      <c r="J45" s="151" t="str">
        <f t="shared" si="39"/>
        <v/>
      </c>
      <c r="K45" s="151" t="str">
        <f t="shared" si="39"/>
        <v/>
      </c>
      <c r="L45" s="151" t="str">
        <f t="shared" si="39"/>
        <v/>
      </c>
      <c r="M45" s="151" t="str">
        <f t="shared" si="39"/>
        <v/>
      </c>
      <c r="N45" s="86"/>
    </row>
    <row r="46" spans="1:14" ht="15.75" customHeight="1" x14ac:dyDescent="0.4">
      <c r="A46" s="4"/>
      <c r="B46" s="93" t="s">
        <v>119</v>
      </c>
      <c r="C46" s="151">
        <f t="shared" ref="C46:M46" si="40">IF(C6="","",C22/C6)</f>
        <v>-0.22487647031402955</v>
      </c>
      <c r="D46" s="151">
        <f t="shared" si="40"/>
        <v>-0.25774836068518486</v>
      </c>
      <c r="E46" s="151" t="str">
        <f t="shared" si="40"/>
        <v/>
      </c>
      <c r="F46" s="151" t="str">
        <f t="shared" si="40"/>
        <v/>
      </c>
      <c r="G46" s="151" t="str">
        <f t="shared" si="40"/>
        <v/>
      </c>
      <c r="H46" s="151" t="str">
        <f t="shared" si="40"/>
        <v/>
      </c>
      <c r="I46" s="151" t="str">
        <f t="shared" si="40"/>
        <v/>
      </c>
      <c r="J46" s="151" t="str">
        <f t="shared" si="40"/>
        <v/>
      </c>
      <c r="K46" s="151" t="str">
        <f t="shared" si="40"/>
        <v/>
      </c>
      <c r="L46" s="151" t="str">
        <f t="shared" si="40"/>
        <v/>
      </c>
      <c r="M46" s="151" t="str">
        <f t="shared" si="40"/>
        <v/>
      </c>
      <c r="N46" s="86"/>
    </row>
    <row r="47" spans="1:14" ht="15.75" customHeight="1" x14ac:dyDescent="0.4">
      <c r="A47" s="16"/>
      <c r="B47" s="101" t="s">
        <v>247</v>
      </c>
      <c r="C47" s="276" t="s">
        <v>264</v>
      </c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86"/>
    </row>
    <row r="48" spans="1:14" ht="15.75" customHeight="1" x14ac:dyDescent="0.4">
      <c r="A48" s="4"/>
      <c r="B48" s="266" t="s">
        <v>253</v>
      </c>
      <c r="C48" s="267" t="e">
        <f t="shared" ref="C48:M48" si="41">IF(C6="","",C6/C27)</f>
        <v>#DIV/0!</v>
      </c>
      <c r="D48" s="267" t="e">
        <f t="shared" si="41"/>
        <v>#VALUE!</v>
      </c>
      <c r="E48" s="267" t="str">
        <f t="shared" si="41"/>
        <v/>
      </c>
      <c r="F48" s="267" t="str">
        <f t="shared" si="41"/>
        <v/>
      </c>
      <c r="G48" s="267" t="str">
        <f t="shared" si="41"/>
        <v/>
      </c>
      <c r="H48" s="267" t="str">
        <f t="shared" si="41"/>
        <v/>
      </c>
      <c r="I48" s="267" t="str">
        <f t="shared" si="41"/>
        <v/>
      </c>
      <c r="J48" s="267" t="str">
        <f t="shared" si="41"/>
        <v/>
      </c>
      <c r="K48" s="267" t="str">
        <f t="shared" si="41"/>
        <v/>
      </c>
      <c r="L48" s="267" t="str">
        <f t="shared" si="41"/>
        <v/>
      </c>
      <c r="M48" s="267" t="str">
        <f t="shared" si="41"/>
        <v/>
      </c>
      <c r="N48" s="86"/>
    </row>
    <row r="49" spans="1:14" ht="15.75" customHeight="1" x14ac:dyDescent="0.4">
      <c r="A49" s="4"/>
      <c r="B49" s="93" t="s">
        <v>254</v>
      </c>
      <c r="C49" s="151">
        <f t="shared" ref="C49:M49" si="42">IF(C28="","",C28/C6)</f>
        <v>0.28061826996286338</v>
      </c>
      <c r="D49" s="151" t="str">
        <f t="shared" si="42"/>
        <v/>
      </c>
      <c r="E49" s="151" t="str">
        <f t="shared" si="42"/>
        <v/>
      </c>
      <c r="F49" s="151" t="str">
        <f t="shared" si="42"/>
        <v/>
      </c>
      <c r="G49" s="151" t="str">
        <f t="shared" si="42"/>
        <v/>
      </c>
      <c r="H49" s="151" t="str">
        <f t="shared" si="42"/>
        <v/>
      </c>
      <c r="I49" s="151" t="str">
        <f t="shared" si="42"/>
        <v/>
      </c>
      <c r="J49" s="151" t="str">
        <f t="shared" si="42"/>
        <v/>
      </c>
      <c r="K49" s="151" t="str">
        <f t="shared" si="42"/>
        <v/>
      </c>
      <c r="L49" s="151" t="str">
        <f t="shared" si="42"/>
        <v/>
      </c>
      <c r="M49" s="151" t="str">
        <f t="shared" si="42"/>
        <v/>
      </c>
      <c r="N49" s="86"/>
    </row>
    <row r="50" spans="1:14" ht="15.75" customHeight="1" x14ac:dyDescent="0.4">
      <c r="A50" s="4"/>
      <c r="B50" s="93" t="s">
        <v>255</v>
      </c>
      <c r="C50" s="151">
        <f t="shared" ref="C50:M50" si="43">IF(C29="","",C29/C6)</f>
        <v>0</v>
      </c>
      <c r="D50" s="151" t="str">
        <f t="shared" si="43"/>
        <v/>
      </c>
      <c r="E50" s="151" t="str">
        <f t="shared" si="43"/>
        <v/>
      </c>
      <c r="F50" s="151" t="str">
        <f t="shared" si="43"/>
        <v/>
      </c>
      <c r="G50" s="151" t="str">
        <f t="shared" si="43"/>
        <v/>
      </c>
      <c r="H50" s="151" t="str">
        <f t="shared" si="43"/>
        <v/>
      </c>
      <c r="I50" s="151" t="str">
        <f t="shared" si="43"/>
        <v/>
      </c>
      <c r="J50" s="151" t="str">
        <f t="shared" si="43"/>
        <v/>
      </c>
      <c r="K50" s="151" t="str">
        <f t="shared" si="43"/>
        <v/>
      </c>
      <c r="L50" s="151" t="str">
        <f t="shared" si="43"/>
        <v/>
      </c>
      <c r="M50" s="151" t="str">
        <f t="shared" si="43"/>
        <v/>
      </c>
      <c r="N50" s="86"/>
    </row>
    <row r="51" spans="1:14" ht="15.75" customHeight="1" x14ac:dyDescent="0.4">
      <c r="A51" s="4"/>
      <c r="B51" s="93" t="s">
        <v>245</v>
      </c>
      <c r="C51" s="151" t="e">
        <f t="shared" ref="C51:M51" si="44">IF(D6="","",C16/(C6-D6))</f>
        <v>#VALUE!</v>
      </c>
      <c r="D51" s="151" t="str">
        <f t="shared" si="44"/>
        <v/>
      </c>
      <c r="E51" s="151" t="str">
        <f t="shared" si="44"/>
        <v/>
      </c>
      <c r="F51" s="151" t="str">
        <f t="shared" si="44"/>
        <v/>
      </c>
      <c r="G51" s="151" t="str">
        <f t="shared" si="44"/>
        <v/>
      </c>
      <c r="H51" s="151" t="str">
        <f t="shared" si="44"/>
        <v/>
      </c>
      <c r="I51" s="151" t="str">
        <f t="shared" si="44"/>
        <v/>
      </c>
      <c r="J51" s="151" t="str">
        <f t="shared" si="44"/>
        <v/>
      </c>
      <c r="K51" s="151" t="str">
        <f t="shared" si="44"/>
        <v/>
      </c>
      <c r="L51" s="151" t="str">
        <f t="shared" si="44"/>
        <v/>
      </c>
      <c r="M51" s="151" t="str">
        <f t="shared" si="44"/>
        <v/>
      </c>
      <c r="N51" s="86"/>
    </row>
    <row r="52" spans="1:14" ht="15.75" customHeight="1" x14ac:dyDescent="0.4">
      <c r="A52" s="16"/>
      <c r="B52" s="101" t="s">
        <v>248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4" t="s">
        <v>249</v>
      </c>
      <c r="C53" s="154" t="e">
        <f t="shared" ref="C53:M53" si="45">IF(C34="","",(C34-C35)/C27)</f>
        <v>#DIV/0!</v>
      </c>
      <c r="D53" s="154" t="str">
        <f t="shared" si="45"/>
        <v/>
      </c>
      <c r="E53" s="154" t="str">
        <f t="shared" si="45"/>
        <v/>
      </c>
      <c r="F53" s="154" t="str">
        <f t="shared" si="45"/>
        <v/>
      </c>
      <c r="G53" s="154" t="str">
        <f t="shared" si="45"/>
        <v/>
      </c>
      <c r="H53" s="154" t="str">
        <f t="shared" si="45"/>
        <v/>
      </c>
      <c r="I53" s="154" t="str">
        <f t="shared" si="45"/>
        <v/>
      </c>
      <c r="J53" s="154" t="str">
        <f t="shared" si="45"/>
        <v/>
      </c>
      <c r="K53" s="154" t="str">
        <f t="shared" si="45"/>
        <v/>
      </c>
      <c r="L53" s="154" t="str">
        <f t="shared" si="45"/>
        <v/>
      </c>
      <c r="M53" s="154" t="str">
        <f t="shared" si="45"/>
        <v/>
      </c>
    </row>
    <row r="54" spans="1:14" ht="15.75" customHeight="1" x14ac:dyDescent="0.4">
      <c r="A54" s="4"/>
      <c r="B54" s="93" t="s">
        <v>116</v>
      </c>
      <c r="C54" s="155">
        <f t="shared" ref="C54:M54" si="46">IF(OR(C22="",C33=""),"",IF(C33&lt;=0,"-",C22/C33))</f>
        <v>-1.0558671445377692</v>
      </c>
      <c r="D54" s="155" t="str">
        <f t="shared" si="46"/>
        <v/>
      </c>
      <c r="E54" s="155" t="str">
        <f t="shared" si="46"/>
        <v/>
      </c>
      <c r="F54" s="155" t="str">
        <f t="shared" si="46"/>
        <v/>
      </c>
      <c r="G54" s="155" t="str">
        <f t="shared" si="46"/>
        <v/>
      </c>
      <c r="H54" s="155" t="str">
        <f t="shared" si="46"/>
        <v/>
      </c>
      <c r="I54" s="155" t="str">
        <f t="shared" si="46"/>
        <v/>
      </c>
      <c r="J54" s="155" t="str">
        <f t="shared" si="46"/>
        <v/>
      </c>
      <c r="K54" s="155" t="str">
        <f t="shared" si="46"/>
        <v/>
      </c>
      <c r="L54" s="155" t="str">
        <f t="shared" si="46"/>
        <v/>
      </c>
      <c r="M54" s="155" t="str">
        <f t="shared" si="46"/>
        <v/>
      </c>
    </row>
    <row r="55" spans="1:14" ht="15.75" customHeight="1" x14ac:dyDescent="0.4">
      <c r="A55" s="4"/>
      <c r="B55" s="93" t="s">
        <v>118</v>
      </c>
      <c r="C55" s="151">
        <f t="shared" ref="C55:M55" si="47">IF(C22="","",IF(MAX(C17,0)&lt;=0,"-",C17/C22))</f>
        <v>-6.4320818110365441E-2</v>
      </c>
      <c r="D55" s="151">
        <f t="shared" si="47"/>
        <v>-3.5130919589818468E-2</v>
      </c>
      <c r="E55" s="151" t="str">
        <f t="shared" si="47"/>
        <v/>
      </c>
      <c r="F55" s="151" t="str">
        <f t="shared" si="47"/>
        <v/>
      </c>
      <c r="G55" s="151" t="str">
        <f t="shared" si="47"/>
        <v/>
      </c>
      <c r="H55" s="151" t="str">
        <f t="shared" si="47"/>
        <v/>
      </c>
      <c r="I55" s="151" t="str">
        <f t="shared" si="47"/>
        <v/>
      </c>
      <c r="J55" s="151" t="str">
        <f t="shared" si="47"/>
        <v/>
      </c>
      <c r="K55" s="151" t="str">
        <f t="shared" si="47"/>
        <v/>
      </c>
      <c r="L55" s="151" t="str">
        <f t="shared" si="47"/>
        <v/>
      </c>
      <c r="M55" s="151" t="str">
        <f t="shared" si="47"/>
        <v/>
      </c>
    </row>
    <row r="56" spans="1:14" ht="15.75" customHeight="1" x14ac:dyDescent="0.4">
      <c r="A56" s="4"/>
      <c r="B56" s="93" t="s">
        <v>268</v>
      </c>
      <c r="C56" s="151">
        <f>IF(C34="","",IF(Inputs!C38=0,0,Inputs!C38/C27))</f>
        <v>0</v>
      </c>
      <c r="D56" s="151" t="str">
        <f>IF(D34="","",IF(Inputs!D38=0,0,Inputs!D38/D27))</f>
        <v/>
      </c>
      <c r="E56" s="151" t="str">
        <f>IF(E34="","",IF(Inputs!E38=0,0,Inputs!E38/E27))</f>
        <v/>
      </c>
      <c r="F56" s="151" t="str">
        <f>IF(F34="","",IF(Inputs!F38=0,0,Inputs!F38/F27))</f>
        <v/>
      </c>
      <c r="G56" s="151" t="str">
        <f>IF(G34="","",IF(Inputs!G38=0,0,Inputs!G38/G27))</f>
        <v/>
      </c>
      <c r="H56" s="151" t="str">
        <f>IF(H34="","",IF(Inputs!H38=0,0,Inputs!H38/H27))</f>
        <v/>
      </c>
      <c r="I56" s="151" t="str">
        <f>IF(I34="","",IF(Inputs!I38=0,0,Inputs!I38/I27))</f>
        <v/>
      </c>
      <c r="J56" s="151" t="str">
        <f>IF(J34="","",IF(Inputs!J38=0,0,Inputs!J38/J27))</f>
        <v/>
      </c>
      <c r="K56" s="151" t="str">
        <f>IF(K34="","",IF(Inputs!K38=0,0,Inputs!K38/K27))</f>
        <v/>
      </c>
      <c r="L56" s="151" t="str">
        <f>IF(L34="","",IF(Inputs!L38=0,0,Inputs!L38/L27))</f>
        <v/>
      </c>
      <c r="M56" s="151" t="str">
        <f>IF(M34="","",IF(Inputs!M38=0,0,Inputs!M38/M27))</f>
        <v/>
      </c>
    </row>
    <row r="57" spans="1:14" ht="15.75" customHeight="1" x14ac:dyDescent="0.4">
      <c r="A57" s="16"/>
      <c r="B57" s="101" t="s">
        <v>250</v>
      </c>
      <c r="C57" s="268" t="str">
        <f t="shared" ref="C57:M57" si="48">IFERROR(IF(C13*C48*(1/C53)=C58,"","Error"),"")</f>
        <v/>
      </c>
      <c r="D57" s="268" t="str">
        <f t="shared" si="48"/>
        <v/>
      </c>
      <c r="E57" s="268" t="str">
        <f t="shared" si="48"/>
        <v/>
      </c>
      <c r="F57" s="268" t="str">
        <f t="shared" si="48"/>
        <v/>
      </c>
      <c r="G57" s="268" t="str">
        <f t="shared" si="48"/>
        <v/>
      </c>
      <c r="H57" s="268" t="str">
        <f t="shared" si="48"/>
        <v/>
      </c>
      <c r="I57" s="268" t="str">
        <f t="shared" si="48"/>
        <v/>
      </c>
      <c r="J57" s="268" t="str">
        <f t="shared" si="48"/>
        <v/>
      </c>
      <c r="K57" s="268" t="str">
        <f t="shared" si="48"/>
        <v/>
      </c>
      <c r="L57" s="268" t="str">
        <f t="shared" si="48"/>
        <v/>
      </c>
      <c r="M57" s="268" t="str">
        <f t="shared" si="48"/>
        <v/>
      </c>
    </row>
    <row r="58" spans="1:14" ht="15.75" customHeight="1" x14ac:dyDescent="0.4">
      <c r="A58" s="4"/>
      <c r="B58" s="266" t="s">
        <v>251</v>
      </c>
      <c r="C58" s="269" t="e">
        <f t="shared" ref="C58:M58" si="49">IF(C14="","",C14/(C34-C35))</f>
        <v>#DIV/0!</v>
      </c>
      <c r="D58" s="269" t="e">
        <f t="shared" si="49"/>
        <v>#VALUE!</v>
      </c>
      <c r="E58" s="269" t="str">
        <f t="shared" si="49"/>
        <v/>
      </c>
      <c r="F58" s="269" t="str">
        <f t="shared" si="49"/>
        <v/>
      </c>
      <c r="G58" s="269" t="str">
        <f t="shared" si="49"/>
        <v/>
      </c>
      <c r="H58" s="269" t="str">
        <f t="shared" si="49"/>
        <v/>
      </c>
      <c r="I58" s="269" t="str">
        <f t="shared" si="49"/>
        <v/>
      </c>
      <c r="J58" s="269" t="str">
        <f t="shared" si="49"/>
        <v/>
      </c>
      <c r="K58" s="269" t="str">
        <f t="shared" si="49"/>
        <v/>
      </c>
      <c r="L58" s="269" t="str">
        <f t="shared" si="49"/>
        <v/>
      </c>
      <c r="M58" s="269" t="str">
        <f t="shared" si="49"/>
        <v/>
      </c>
    </row>
    <row r="59" spans="1:14" ht="15.75" customHeight="1" x14ac:dyDescent="0.4">
      <c r="A59" s="4"/>
      <c r="B59" s="266" t="s">
        <v>252</v>
      </c>
      <c r="C59" s="269" t="e">
        <f t="shared" ref="C59:M59" si="50">IF(C22="","",C22/(C34-C35))</f>
        <v>#DIV/0!</v>
      </c>
      <c r="D59" s="269" t="e">
        <f t="shared" si="50"/>
        <v>#VALUE!</v>
      </c>
      <c r="E59" s="269" t="str">
        <f t="shared" si="50"/>
        <v/>
      </c>
      <c r="F59" s="269" t="str">
        <f t="shared" si="50"/>
        <v/>
      </c>
      <c r="G59" s="269" t="str">
        <f t="shared" si="50"/>
        <v/>
      </c>
      <c r="H59" s="269" t="str">
        <f t="shared" si="50"/>
        <v/>
      </c>
      <c r="I59" s="269" t="str">
        <f t="shared" si="50"/>
        <v/>
      </c>
      <c r="J59" s="269" t="str">
        <f t="shared" si="50"/>
        <v/>
      </c>
      <c r="K59" s="269" t="str">
        <f t="shared" si="50"/>
        <v/>
      </c>
      <c r="L59" s="269" t="str">
        <f t="shared" si="50"/>
        <v/>
      </c>
      <c r="M59" s="269" t="str">
        <f t="shared" si="50"/>
        <v/>
      </c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D22" sqref="D2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20</v>
      </c>
      <c r="C2" s="45"/>
      <c r="D2" s="64"/>
      <c r="E2" s="86"/>
      <c r="F2" s="7"/>
      <c r="G2" s="7"/>
      <c r="H2" s="7"/>
      <c r="I2" s="86"/>
      <c r="K2" s="50" t="s">
        <v>8</v>
      </c>
    </row>
    <row r="3" spans="1:11" ht="15" customHeight="1" x14ac:dyDescent="0.4">
      <c r="B3" s="3" t="s">
        <v>21</v>
      </c>
      <c r="C3" s="86"/>
      <c r="D3" s="202">
        <f>Inputs!C41</f>
        <v>0</v>
      </c>
      <c r="E3" s="67" t="str">
        <f>IF((C49-I49)=D3,"", "Error!")</f>
        <v/>
      </c>
      <c r="F3" s="86"/>
      <c r="G3" s="86"/>
      <c r="H3" s="47" t="s">
        <v>22</v>
      </c>
      <c r="I3" s="278">
        <f>D3-D4</f>
        <v>0</v>
      </c>
      <c r="K3" s="24"/>
    </row>
    <row r="4" spans="1:11" ht="15" customHeight="1" x14ac:dyDescent="0.4">
      <c r="B4" s="3" t="s">
        <v>23</v>
      </c>
      <c r="C4" s="86"/>
      <c r="D4" s="196">
        <f>Inputs!C42</f>
        <v>0</v>
      </c>
      <c r="E4" s="37"/>
      <c r="F4" s="86"/>
      <c r="G4" s="86"/>
      <c r="H4" s="21"/>
      <c r="I4" s="54"/>
      <c r="K4" s="24"/>
    </row>
    <row r="5" spans="1:11" ht="15" customHeight="1" x14ac:dyDescent="0.4">
      <c r="C5" s="86"/>
      <c r="D5" s="86"/>
      <c r="E5" s="11" t="s">
        <v>24</v>
      </c>
      <c r="H5" s="1" t="s">
        <v>25</v>
      </c>
      <c r="I5" s="63">
        <f>C28/I28</f>
        <v>13.425836564396494</v>
      </c>
      <c r="K5" s="24"/>
    </row>
    <row r="6" spans="1:11" ht="15" customHeight="1" thickBot="1" x14ac:dyDescent="0.45">
      <c r="B6" s="20" t="str">
        <f>"Adj. Net Asset in "&amp;Dashboard!G6</f>
        <v>Adj. Net Asset in HKD</v>
      </c>
      <c r="C6" s="86"/>
      <c r="D6" s="69">
        <f>(E49-I49-E53)</f>
        <v>2084455.4</v>
      </c>
      <c r="E6" s="56" t="e">
        <f>1-D6/D3</f>
        <v>#DIV/0!</v>
      </c>
      <c r="F6" s="86"/>
      <c r="G6" s="86"/>
      <c r="H6" s="1" t="s">
        <v>26</v>
      </c>
      <c r="I6" s="63">
        <f>(C24+C25)/I28</f>
        <v>13.420010114632502</v>
      </c>
      <c r="J6" s="86"/>
      <c r="K6" s="24"/>
    </row>
    <row r="7" spans="1:11" ht="15" customHeight="1" thickTop="1" x14ac:dyDescent="0.4">
      <c r="B7" s="19" t="str">
        <f>"Adj. Net Asset per Shares in "&amp;Dashboard!H3</f>
        <v>Adj. Net Asset per Shares in HKD</v>
      </c>
      <c r="C7" s="86"/>
      <c r="D7" s="66">
        <f>MAX((D6*Exchange_Rate*Data!C4)/Common_Shares, 0)</f>
        <v>1.1410981391367157</v>
      </c>
      <c r="E7" s="11" t="str">
        <f>Dashboard!H3</f>
        <v>HKD</v>
      </c>
      <c r="H7" s="1" t="s">
        <v>27</v>
      </c>
      <c r="I7" s="63">
        <f>C24/I28</f>
        <v>13.135515003371545</v>
      </c>
      <c r="J7" s="86"/>
      <c r="K7" s="33"/>
    </row>
    <row r="8" spans="1:11" ht="15" customHeight="1" x14ac:dyDescent="0.4">
      <c r="C8" s="86"/>
      <c r="D8" s="86"/>
      <c r="E8" s="86"/>
      <c r="K8" s="24"/>
    </row>
    <row r="9" spans="1:11" ht="15" customHeight="1" x14ac:dyDescent="0.4">
      <c r="A9" s="2"/>
      <c r="B9" s="46" t="s">
        <v>28</v>
      </c>
      <c r="C9" s="85"/>
      <c r="D9" s="200">
        <f>Inputs!C14</f>
        <v>45473</v>
      </c>
      <c r="E9" s="117" t="str">
        <f>IF(MONTH(D9)=MONTH(Data!C3),"FY","Quarter")</f>
        <v>Quarter</v>
      </c>
      <c r="F9" s="85"/>
      <c r="G9" s="85"/>
      <c r="H9" s="85"/>
      <c r="I9" s="85"/>
      <c r="K9" s="24"/>
    </row>
    <row r="10" spans="1:11" ht="15" customHeight="1" x14ac:dyDescent="0.4">
      <c r="B10" s="22" t="s">
        <v>29</v>
      </c>
      <c r="C10" s="74" t="s">
        <v>30</v>
      </c>
      <c r="D10" s="74" t="s">
        <v>182</v>
      </c>
      <c r="E10" s="74" t="s">
        <v>31</v>
      </c>
      <c r="F10" s="110" t="s">
        <v>32</v>
      </c>
      <c r="G10" s="86"/>
      <c r="H10" s="22" t="s">
        <v>33</v>
      </c>
      <c r="I10" s="74" t="s">
        <v>30</v>
      </c>
      <c r="K10" s="24"/>
    </row>
    <row r="11" spans="1:11" ht="15" customHeight="1" x14ac:dyDescent="0.4">
      <c r="B11" s="3" t="s">
        <v>34</v>
      </c>
      <c r="C11" s="40">
        <f>Inputs!C48</f>
        <v>922361</v>
      </c>
      <c r="D11" s="195">
        <f>Inputs!D48</f>
        <v>0.9</v>
      </c>
      <c r="E11" s="87">
        <f t="shared" ref="E11:E22" si="0">C11*D11</f>
        <v>830124.9</v>
      </c>
      <c r="F11" s="111"/>
      <c r="G11" s="86"/>
      <c r="H11" s="3" t="s">
        <v>35</v>
      </c>
      <c r="I11" s="40">
        <f>Inputs!C73</f>
        <v>1149</v>
      </c>
      <c r="J11" s="86"/>
      <c r="K11" s="24"/>
    </row>
    <row r="12" spans="1:11" ht="13.9" x14ac:dyDescent="0.4">
      <c r="B12" s="1" t="s">
        <v>130</v>
      </c>
      <c r="C12" s="40">
        <f>Inputs!C49</f>
        <v>0</v>
      </c>
      <c r="D12" s="195">
        <f>Inputs!D49</f>
        <v>0.8</v>
      </c>
      <c r="E12" s="87">
        <f t="shared" si="0"/>
        <v>0</v>
      </c>
      <c r="F12" s="111"/>
      <c r="G12" s="86"/>
      <c r="H12" s="3" t="s">
        <v>36</v>
      </c>
      <c r="I12" s="40">
        <f>Inputs!C74</f>
        <v>13306</v>
      </c>
      <c r="J12" s="86"/>
      <c r="K12" s="24"/>
    </row>
    <row r="13" spans="1:11" ht="13.9" x14ac:dyDescent="0.4">
      <c r="B13" s="3" t="s">
        <v>112</v>
      </c>
      <c r="C13" s="40">
        <f>Inputs!C50</f>
        <v>144478</v>
      </c>
      <c r="D13" s="195">
        <f>Inputs!D50</f>
        <v>0.6</v>
      </c>
      <c r="E13" s="87">
        <f t="shared" si="0"/>
        <v>86686.8</v>
      </c>
      <c r="F13" s="111"/>
      <c r="G13" s="86"/>
      <c r="H13" s="3" t="s">
        <v>37</v>
      </c>
      <c r="I13" s="40">
        <f>Inputs!C75</f>
        <v>0</v>
      </c>
      <c r="J13" s="86"/>
      <c r="K13" s="26"/>
    </row>
    <row r="14" spans="1:11" ht="13.9" x14ac:dyDescent="0.4">
      <c r="B14" s="3" t="s">
        <v>38</v>
      </c>
      <c r="C14" s="40">
        <f>Inputs!C51</f>
        <v>179879</v>
      </c>
      <c r="D14" s="195">
        <f>Inputs!D51</f>
        <v>0.6</v>
      </c>
      <c r="E14" s="87">
        <f t="shared" si="0"/>
        <v>107927.4</v>
      </c>
      <c r="F14" s="111"/>
      <c r="G14" s="86"/>
      <c r="H14" s="85" t="s">
        <v>39</v>
      </c>
      <c r="I14" s="201">
        <f>Inputs!C76</f>
        <v>0</v>
      </c>
      <c r="J14" s="86"/>
      <c r="K14" s="27"/>
    </row>
    <row r="15" spans="1:11" ht="13.9" x14ac:dyDescent="0.4">
      <c r="B15" s="3" t="s">
        <v>40</v>
      </c>
      <c r="C15" s="40">
        <f>Inputs!C52</f>
        <v>0</v>
      </c>
      <c r="D15" s="195">
        <f>Inputs!D52</f>
        <v>0.5</v>
      </c>
      <c r="E15" s="87">
        <f t="shared" si="0"/>
        <v>0</v>
      </c>
      <c r="F15" s="111"/>
      <c r="G15" s="86"/>
      <c r="H15" s="1" t="s">
        <v>50</v>
      </c>
      <c r="I15" s="83">
        <f>SUM(I11:I14)</f>
        <v>14455</v>
      </c>
      <c r="J15" s="86"/>
    </row>
    <row r="16" spans="1:11" ht="13.9" x14ac:dyDescent="0.4">
      <c r="B16" s="1" t="s">
        <v>150</v>
      </c>
      <c r="C16" s="40">
        <f>Inputs!C53</f>
        <v>0</v>
      </c>
      <c r="D16" s="195">
        <f>Inputs!D53</f>
        <v>0.6</v>
      </c>
      <c r="E16" s="87">
        <f t="shared" si="0"/>
        <v>0</v>
      </c>
      <c r="F16" s="111"/>
      <c r="G16" s="30"/>
      <c r="H16" s="3"/>
      <c r="I16" s="40"/>
      <c r="J16" s="86"/>
    </row>
    <row r="17" spans="2:10" ht="13.9" x14ac:dyDescent="0.4">
      <c r="B17" s="3" t="s">
        <v>113</v>
      </c>
      <c r="C17" s="40">
        <f>Inputs!C54</f>
        <v>27002</v>
      </c>
      <c r="D17" s="195">
        <f>Inputs!D54</f>
        <v>0.1</v>
      </c>
      <c r="E17" s="87">
        <f t="shared" si="0"/>
        <v>2700.2000000000003</v>
      </c>
      <c r="F17" s="111"/>
      <c r="G17" s="86"/>
      <c r="H17" s="3"/>
      <c r="I17" s="40"/>
      <c r="J17" s="86"/>
    </row>
    <row r="18" spans="2:10" ht="13.9" x14ac:dyDescent="0.4">
      <c r="B18" s="3" t="s">
        <v>43</v>
      </c>
      <c r="C18" s="40">
        <f>Inputs!C55</f>
        <v>0</v>
      </c>
      <c r="D18" s="195">
        <f>Inputs!D55</f>
        <v>0.5</v>
      </c>
      <c r="E18" s="87">
        <f t="shared" si="0"/>
        <v>0</v>
      </c>
      <c r="F18" s="111"/>
      <c r="G18" s="86"/>
      <c r="H18" s="86"/>
      <c r="I18" s="86"/>
    </row>
    <row r="19" spans="2:10" ht="13.9" x14ac:dyDescent="0.4">
      <c r="B19" s="1" t="s">
        <v>44</v>
      </c>
      <c r="C19" s="40">
        <f>Inputs!C56</f>
        <v>0</v>
      </c>
      <c r="D19" s="195">
        <f>Inputs!D56</f>
        <v>0.6</v>
      </c>
      <c r="E19" s="87">
        <f t="shared" si="0"/>
        <v>0</v>
      </c>
      <c r="F19" s="132" t="str">
        <f>Inputs!E56</f>
        <v>N</v>
      </c>
      <c r="G19" s="30">
        <f>IF(F19="Y",0,1)</f>
        <v>1</v>
      </c>
    </row>
    <row r="20" spans="2:10" ht="13.9" x14ac:dyDescent="0.4">
      <c r="B20" s="3" t="s">
        <v>115</v>
      </c>
      <c r="C20" s="40">
        <f>Inputs!C57</f>
        <v>0</v>
      </c>
      <c r="D20" s="195">
        <f>Inputs!D57</f>
        <v>0.6</v>
      </c>
      <c r="E20" s="87">
        <f t="shared" si="0"/>
        <v>0</v>
      </c>
      <c r="F20" s="132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46</v>
      </c>
      <c r="C21" s="40">
        <f>Inputs!C58</f>
        <v>553</v>
      </c>
      <c r="D21" s="195">
        <f>Inputs!D58</f>
        <v>0.9</v>
      </c>
      <c r="E21" s="87">
        <f t="shared" si="0"/>
        <v>497.7</v>
      </c>
      <c r="F21" s="111"/>
      <c r="G21" s="86"/>
      <c r="H21" s="3"/>
      <c r="I21" s="40"/>
    </row>
    <row r="22" spans="2:10" ht="15" customHeight="1" x14ac:dyDescent="0.4">
      <c r="B22" s="3" t="s">
        <v>47</v>
      </c>
      <c r="C22" s="40">
        <f>Inputs!C59</f>
        <v>0</v>
      </c>
      <c r="D22" s="195">
        <f>Inputs!D59</f>
        <v>0.05</v>
      </c>
      <c r="E22" s="87">
        <f t="shared" si="0"/>
        <v>0</v>
      </c>
      <c r="F22" s="111"/>
      <c r="G22" s="86"/>
      <c r="H22" s="3" t="s">
        <v>41</v>
      </c>
      <c r="I22" s="52">
        <f>I28-SUM(I11:I14)</f>
        <v>80457</v>
      </c>
    </row>
    <row r="23" spans="2:10" ht="15" customHeight="1" x14ac:dyDescent="0.4">
      <c r="C23" s="86"/>
      <c r="D23" s="86"/>
      <c r="E23" s="86"/>
      <c r="F23" s="110" t="s">
        <v>48</v>
      </c>
      <c r="G23" s="86"/>
    </row>
    <row r="24" spans="2:10" ht="15" customHeight="1" x14ac:dyDescent="0.4">
      <c r="B24" s="23" t="s">
        <v>49</v>
      </c>
      <c r="C24" s="61">
        <f>SUM(C11:C14)</f>
        <v>1246718</v>
      </c>
      <c r="D24" s="62">
        <f>IF(E24=0,0,E24/C24)</f>
        <v>0.82194939031922221</v>
      </c>
      <c r="E24" s="87">
        <f>SUM(E11:E14)</f>
        <v>1024739.1000000001</v>
      </c>
      <c r="F24" s="112">
        <f>E24/$E$28</f>
        <v>0.99688901168067701</v>
      </c>
      <c r="G24" s="86"/>
    </row>
    <row r="25" spans="2:10" ht="15" customHeight="1" x14ac:dyDescent="0.4">
      <c r="B25" s="23" t="s">
        <v>51</v>
      </c>
      <c r="C25" s="61">
        <f>SUM(C15:C17)</f>
        <v>27002</v>
      </c>
      <c r="D25" s="62">
        <f>IF(E25=0,0,E25/C25)</f>
        <v>0.1</v>
      </c>
      <c r="E25" s="87">
        <f>SUM(E15:E17)</f>
        <v>2700.2000000000003</v>
      </c>
      <c r="F25" s="112">
        <f>E25/$E$28</f>
        <v>2.6268146783314543E-3</v>
      </c>
      <c r="G25" s="86"/>
      <c r="H25" s="23" t="s">
        <v>52</v>
      </c>
      <c r="I25" s="63">
        <f>E28/I28</f>
        <v>10.830421864463924</v>
      </c>
    </row>
    <row r="26" spans="2:10" ht="15" customHeight="1" x14ac:dyDescent="0.4">
      <c r="B26" s="23" t="s">
        <v>53</v>
      </c>
      <c r="C26" s="61">
        <f>C18+C19+C20</f>
        <v>0</v>
      </c>
      <c r="D26" s="62">
        <f>IF(E26=0,0,E26/C26)</f>
        <v>0</v>
      </c>
      <c r="E26" s="87">
        <f>E18+E19+E20</f>
        <v>0</v>
      </c>
      <c r="F26" s="112">
        <f>E26/$E$28</f>
        <v>0</v>
      </c>
      <c r="G26" s="86"/>
      <c r="H26" s="23" t="s">
        <v>54</v>
      </c>
      <c r="I26" s="63">
        <f>E24/($I$28-I22)</f>
        <v>70.891670702179184</v>
      </c>
      <c r="J26" s="8" t="str">
        <f>IF(I26&lt;1,"Liquidity Problem!","")</f>
        <v/>
      </c>
    </row>
    <row r="27" spans="2:10" ht="15" customHeight="1" x14ac:dyDescent="0.4">
      <c r="B27" s="23" t="s">
        <v>55</v>
      </c>
      <c r="C27" s="77">
        <f>C21+C22</f>
        <v>553</v>
      </c>
      <c r="D27" s="62">
        <f>IF(E27=0,0,E27/C27)</f>
        <v>0.9</v>
      </c>
      <c r="E27" s="87">
        <f>E21+E22</f>
        <v>497.7</v>
      </c>
      <c r="F27" s="112">
        <f>E27/$E$28</f>
        <v>4.8417364099161717E-4</v>
      </c>
      <c r="G27" s="86"/>
      <c r="H27" s="23" t="s">
        <v>56</v>
      </c>
      <c r="I27" s="63">
        <f>(E25+E24)/$I$28</f>
        <v>10.825178059676333</v>
      </c>
      <c r="J27" s="8" t="str">
        <f>IF(OR(I27&lt;0.75,C28&lt;I28),"Liquidity Issue!","")</f>
        <v/>
      </c>
    </row>
    <row r="28" spans="2:10" ht="15" customHeight="1" x14ac:dyDescent="0.4">
      <c r="B28" s="78" t="s">
        <v>15</v>
      </c>
      <c r="C28" s="79">
        <f>SUM(C11:C22)</f>
        <v>1274273</v>
      </c>
      <c r="D28" s="57">
        <f>E28/C28</f>
        <v>0.80668506670077766</v>
      </c>
      <c r="E28" s="70">
        <f>SUM(E24:E27)</f>
        <v>1027937</v>
      </c>
      <c r="F28" s="111"/>
      <c r="G28" s="86"/>
      <c r="H28" s="78" t="s">
        <v>16</v>
      </c>
      <c r="I28" s="202">
        <f>Inputs!C77</f>
        <v>94912</v>
      </c>
      <c r="J28" s="32" t="e">
        <f>IF(J26="",1,0)+IF(J27="",1,0)+IF(J46="",1,0)+IF(J47="",1,0)</f>
        <v>#DIV/0!</v>
      </c>
    </row>
    <row r="29" spans="2:10" ht="15" customHeight="1" x14ac:dyDescent="0.4">
      <c r="C29" s="86"/>
      <c r="D29" s="86"/>
      <c r="E29" s="86"/>
      <c r="F29" s="111" t="s">
        <v>32</v>
      </c>
      <c r="G29" s="86"/>
      <c r="H29" s="86"/>
      <c r="I29" s="86"/>
      <c r="J29" s="86"/>
    </row>
    <row r="30" spans="2:10" ht="15" customHeight="1" x14ac:dyDescent="0.4">
      <c r="B30" s="3" t="s">
        <v>57</v>
      </c>
      <c r="C30" s="40">
        <f>Inputs!C60</f>
        <v>0</v>
      </c>
      <c r="D30" s="195">
        <f>Inputs!D60</f>
        <v>0.8</v>
      </c>
      <c r="E30" s="87">
        <v>0</v>
      </c>
      <c r="F30" s="111"/>
      <c r="G30" s="86"/>
      <c r="H30" s="3" t="s">
        <v>58</v>
      </c>
      <c r="I30" s="40">
        <f>Inputs!C78</f>
        <v>70891</v>
      </c>
      <c r="J30" s="86"/>
    </row>
    <row r="31" spans="2:10" ht="15" customHeight="1" x14ac:dyDescent="0.4">
      <c r="B31" s="3" t="s">
        <v>59</v>
      </c>
      <c r="C31" s="40">
        <f>Inputs!C61</f>
        <v>1575035</v>
      </c>
      <c r="D31" s="195">
        <f>Inputs!D61</f>
        <v>0.6</v>
      </c>
      <c r="E31" s="87">
        <f t="shared" ref="E31:E42" si="1">C31*D31</f>
        <v>945021</v>
      </c>
      <c r="F31" s="111"/>
      <c r="G31" s="86"/>
      <c r="H31" s="3" t="s">
        <v>60</v>
      </c>
      <c r="I31" s="40">
        <f>Inputs!C79</f>
        <v>24307</v>
      </c>
      <c r="J31" s="86"/>
    </row>
    <row r="32" spans="2:10" ht="15" customHeight="1" x14ac:dyDescent="0.4">
      <c r="B32" s="3" t="s">
        <v>61</v>
      </c>
      <c r="C32" s="40">
        <f>Inputs!C62</f>
        <v>0</v>
      </c>
      <c r="D32" s="195">
        <f>Inputs!D62</f>
        <v>0.5</v>
      </c>
      <c r="E32" s="87">
        <f t="shared" si="1"/>
        <v>0</v>
      </c>
      <c r="F32" s="111"/>
      <c r="G32" s="86"/>
      <c r="H32" s="3" t="s">
        <v>62</v>
      </c>
      <c r="I32" s="40">
        <f>Inputs!C80</f>
        <v>0</v>
      </c>
      <c r="J32" s="86"/>
    </row>
    <row r="33" spans="2:10" ht="13.9" x14ac:dyDescent="0.4">
      <c r="B33" s="1" t="s">
        <v>151</v>
      </c>
      <c r="C33" s="40">
        <f>Inputs!C63</f>
        <v>0</v>
      </c>
      <c r="D33" s="195">
        <f>Inputs!D63</f>
        <v>0.5</v>
      </c>
      <c r="E33" s="87">
        <f t="shared" si="1"/>
        <v>0</v>
      </c>
      <c r="F33" s="111"/>
      <c r="G33" s="30">
        <f>IF(F33="Y",0,1)</f>
        <v>1</v>
      </c>
      <c r="H33" s="85" t="s">
        <v>63</v>
      </c>
      <c r="I33" s="201">
        <f>Inputs!C81</f>
        <v>0</v>
      </c>
      <c r="J33" s="86"/>
    </row>
    <row r="34" spans="2:10" ht="13.9" x14ac:dyDescent="0.4">
      <c r="B34" s="3" t="s">
        <v>64</v>
      </c>
      <c r="C34" s="40">
        <f>Inputs!C64</f>
        <v>0</v>
      </c>
      <c r="D34" s="195">
        <f>Inputs!D64</f>
        <v>0.4</v>
      </c>
      <c r="E34" s="87">
        <f t="shared" si="1"/>
        <v>0</v>
      </c>
      <c r="F34" s="111"/>
      <c r="G34" s="86"/>
      <c r="H34" s="1" t="s">
        <v>74</v>
      </c>
      <c r="I34" s="83">
        <f>SUM(I30:I33)</f>
        <v>95198</v>
      </c>
      <c r="J34" s="86"/>
    </row>
    <row r="35" spans="2:10" ht="13.9" x14ac:dyDescent="0.4">
      <c r="B35" s="3" t="s">
        <v>66</v>
      </c>
      <c r="C35" s="40">
        <f>Inputs!C65</f>
        <v>513574</v>
      </c>
      <c r="D35" s="195">
        <f>Inputs!D65</f>
        <v>0.1</v>
      </c>
      <c r="E35" s="87">
        <f t="shared" si="1"/>
        <v>51357.4</v>
      </c>
      <c r="F35" s="132" t="str">
        <f>Inputs!E65</f>
        <v>N</v>
      </c>
      <c r="G35" s="30">
        <f>IF(F35="Y",0,1)</f>
        <v>1</v>
      </c>
      <c r="J35" s="86"/>
    </row>
    <row r="36" spans="2:10" ht="13.9" x14ac:dyDescent="0.4">
      <c r="B36" s="3" t="s">
        <v>68</v>
      </c>
      <c r="C36" s="40">
        <f>Inputs!C66</f>
        <v>187576</v>
      </c>
      <c r="D36" s="195">
        <f>Inputs!D66</f>
        <v>0.2</v>
      </c>
      <c r="E36" s="87">
        <f t="shared" si="1"/>
        <v>37515.200000000004</v>
      </c>
      <c r="F36" s="132" t="str">
        <f>Inputs!E66</f>
        <v>N</v>
      </c>
      <c r="G36" s="30">
        <f>IF(F36="Y",0,1)</f>
        <v>1</v>
      </c>
      <c r="H36" s="86"/>
      <c r="I36" s="86"/>
    </row>
    <row r="37" spans="2:10" ht="13.9" x14ac:dyDescent="0.4">
      <c r="B37" s="1" t="s">
        <v>45</v>
      </c>
      <c r="C37" s="40">
        <f>Inputs!C67</f>
        <v>0</v>
      </c>
      <c r="D37" s="195">
        <f>Inputs!D67</f>
        <v>0.1</v>
      </c>
      <c r="E37" s="87">
        <f t="shared" si="1"/>
        <v>0</v>
      </c>
      <c r="F37" s="132" t="str">
        <f>Inputs!E67</f>
        <v>Y</v>
      </c>
      <c r="G37" s="30">
        <f>IF(F37="Y",0,1)</f>
        <v>0</v>
      </c>
      <c r="H37" s="86"/>
      <c r="I37" s="86"/>
    </row>
    <row r="38" spans="2:10" ht="15" customHeight="1" x14ac:dyDescent="0.4">
      <c r="B38" s="3" t="s">
        <v>114</v>
      </c>
      <c r="C38" s="40">
        <f>Inputs!C68</f>
        <v>188197</v>
      </c>
      <c r="D38" s="195">
        <f>Inputs!D68</f>
        <v>0.1</v>
      </c>
      <c r="E38" s="87">
        <f t="shared" si="1"/>
        <v>18819.7</v>
      </c>
      <c r="F38" s="111"/>
      <c r="G38" s="86"/>
      <c r="H38" s="86"/>
      <c r="I38" s="86"/>
    </row>
    <row r="39" spans="2:10" ht="13.9" x14ac:dyDescent="0.4">
      <c r="B39" s="3" t="s">
        <v>69</v>
      </c>
      <c r="C39" s="40">
        <f>Inputs!C69</f>
        <v>0</v>
      </c>
      <c r="D39" s="195">
        <f>Inputs!D69</f>
        <v>0.05</v>
      </c>
      <c r="E39" s="87">
        <f t="shared" si="1"/>
        <v>0</v>
      </c>
      <c r="F39" s="111"/>
      <c r="G39" s="86"/>
      <c r="H39" s="86"/>
      <c r="I39" s="86"/>
    </row>
    <row r="40" spans="2:10" ht="15" customHeight="1" x14ac:dyDescent="0.4">
      <c r="B40" s="3" t="s">
        <v>70</v>
      </c>
      <c r="C40" s="40">
        <f>Inputs!C70</f>
        <v>11428</v>
      </c>
      <c r="D40" s="195">
        <f>Inputs!D70</f>
        <v>0.05</v>
      </c>
      <c r="E40" s="87">
        <f t="shared" si="1"/>
        <v>571.4</v>
      </c>
      <c r="F40" s="111"/>
      <c r="G40" s="86"/>
      <c r="H40" s="86"/>
      <c r="I40" s="86"/>
    </row>
    <row r="41" spans="2:10" ht="15" customHeight="1" x14ac:dyDescent="0.4">
      <c r="B41" s="3" t="s">
        <v>71</v>
      </c>
      <c r="C41" s="40">
        <f>Inputs!C71</f>
        <v>3593</v>
      </c>
      <c r="D41" s="195">
        <f>Inputs!D71</f>
        <v>0.9</v>
      </c>
      <c r="E41" s="87">
        <f t="shared" si="1"/>
        <v>3233.7000000000003</v>
      </c>
      <c r="F41" s="111"/>
      <c r="G41" s="86"/>
      <c r="H41" s="86"/>
      <c r="I41" s="86"/>
    </row>
    <row r="42" spans="2:10" ht="15" customHeight="1" x14ac:dyDescent="0.4">
      <c r="B42" s="3" t="s">
        <v>72</v>
      </c>
      <c r="C42" s="40">
        <f>Inputs!C72</f>
        <v>7278</v>
      </c>
      <c r="D42" s="195">
        <f>Inputs!D72</f>
        <v>0</v>
      </c>
      <c r="E42" s="87">
        <f t="shared" si="1"/>
        <v>0</v>
      </c>
      <c r="F42" s="111"/>
      <c r="G42" s="86"/>
      <c r="H42" s="3" t="s">
        <v>65</v>
      </c>
      <c r="I42" s="52">
        <f>I48-SUM(I30:I33)</f>
        <v>-190110</v>
      </c>
    </row>
    <row r="43" spans="2:10" ht="15" customHeight="1" x14ac:dyDescent="0.4">
      <c r="C43" s="86"/>
      <c r="D43" s="86"/>
      <c r="E43" s="86"/>
      <c r="F43" s="86"/>
      <c r="G43" s="86"/>
      <c r="H43" s="86"/>
      <c r="I43" s="86"/>
    </row>
    <row r="44" spans="2:10" ht="15" customHeight="1" x14ac:dyDescent="0.4">
      <c r="B44" s="23" t="s">
        <v>73</v>
      </c>
      <c r="C44" s="61">
        <f>SUM(C30:C31)</f>
        <v>1575035</v>
      </c>
      <c r="D44" s="62">
        <f>IF(E44=0,0,E44/C44)</f>
        <v>0.6</v>
      </c>
      <c r="E44" s="87">
        <f>SUM(E30:E31)</f>
        <v>945021</v>
      </c>
      <c r="F44" s="72"/>
      <c r="G44" s="86"/>
    </row>
    <row r="45" spans="2:10" ht="15" customHeight="1" x14ac:dyDescent="0.4">
      <c r="B45" s="23" t="s">
        <v>75</v>
      </c>
      <c r="C45" s="61">
        <f>SUM(C32:C35)</f>
        <v>513574</v>
      </c>
      <c r="D45" s="62">
        <f>IF(E45=0,0,E45/C45)</f>
        <v>0.1</v>
      </c>
      <c r="E45" s="87">
        <f>SUM(E32:E35)</f>
        <v>51357.4</v>
      </c>
      <c r="F45" s="72"/>
      <c r="G45" s="86"/>
    </row>
    <row r="46" spans="2:10" ht="15" customHeight="1" x14ac:dyDescent="0.4">
      <c r="B46" s="23" t="s">
        <v>76</v>
      </c>
      <c r="C46" s="61">
        <f>C36+C37+C38+C39</f>
        <v>375773</v>
      </c>
      <c r="D46" s="62">
        <f>IF(E46=0,0,E46/C46)</f>
        <v>0.14991737032729868</v>
      </c>
      <c r="E46" s="87">
        <f>E36+E37+E38+E39</f>
        <v>56334.900000000009</v>
      </c>
      <c r="F46" s="86"/>
      <c r="G46" s="86"/>
      <c r="H46" s="23" t="s">
        <v>77</v>
      </c>
      <c r="I46" s="63">
        <f>(E44+E24)/E64</f>
        <v>17.963576919920111</v>
      </c>
      <c r="J46" s="8" t="str">
        <f>IF(I46&lt;1,"Liquidity Problem!","")</f>
        <v/>
      </c>
    </row>
    <row r="47" spans="2:10" ht="15" customHeight="1" x14ac:dyDescent="0.4">
      <c r="B47" s="23" t="s">
        <v>78</v>
      </c>
      <c r="C47" s="61">
        <f>C40+C41+C42</f>
        <v>22299</v>
      </c>
      <c r="D47" s="62">
        <f>IF(E47=0,0,E47/C47)</f>
        <v>0.17063993901071797</v>
      </c>
      <c r="E47" s="87">
        <f>E40+E41+E42</f>
        <v>3805.1000000000004</v>
      </c>
      <c r="F47" s="86"/>
      <c r="G47" s="86"/>
      <c r="H47" s="23" t="s">
        <v>79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80</v>
      </c>
      <c r="C48" s="279">
        <f>SUM(C30:C42)</f>
        <v>2486681</v>
      </c>
      <c r="D48" s="81">
        <f>E48/C48</f>
        <v>0.42487090221866008</v>
      </c>
      <c r="E48" s="76">
        <f>SUM(E30:E42)</f>
        <v>1056518.3999999999</v>
      </c>
      <c r="F48" s="86"/>
      <c r="G48" s="86"/>
      <c r="H48" s="80" t="s">
        <v>81</v>
      </c>
      <c r="I48" s="277">
        <f>I49-I28</f>
        <v>-94912</v>
      </c>
      <c r="J48" s="8"/>
    </row>
    <row r="49" spans="2:11" ht="15" customHeight="1" thickTop="1" x14ac:dyDescent="0.4">
      <c r="B49" s="3" t="s">
        <v>14</v>
      </c>
      <c r="C49" s="61">
        <f>Inputs!C41+Inputs!C37</f>
        <v>0</v>
      </c>
      <c r="D49" s="56" t="e">
        <f>E49/C49</f>
        <v>#DIV/0!</v>
      </c>
      <c r="E49" s="87">
        <f>E28+E48</f>
        <v>2084455.4</v>
      </c>
      <c r="F49" s="86"/>
      <c r="G49" s="86"/>
      <c r="H49" s="3" t="s">
        <v>82</v>
      </c>
      <c r="I49" s="40">
        <f>Inputs!C37</f>
        <v>0</v>
      </c>
      <c r="J49" s="86"/>
    </row>
    <row r="50" spans="2:11" ht="15" customHeight="1" x14ac:dyDescent="0.4">
      <c r="C50" s="86"/>
      <c r="D50" s="86"/>
      <c r="E50" s="86"/>
      <c r="I50" s="86"/>
    </row>
    <row r="51" spans="2:11" ht="13.9" x14ac:dyDescent="0.4">
      <c r="B51" s="10" t="s">
        <v>83</v>
      </c>
      <c r="C51" s="31"/>
      <c r="D51" s="18"/>
    </row>
    <row r="52" spans="2:11" ht="13.9" x14ac:dyDescent="0.4">
      <c r="B52" s="44" t="s">
        <v>84</v>
      </c>
      <c r="C52" s="86"/>
      <c r="D52" s="74" t="str">
        <f>IF(E53=D4,"BV of the MI","P/B Approach")</f>
        <v>BV of the MI</v>
      </c>
      <c r="E52" s="86"/>
      <c r="F52" s="86"/>
      <c r="G52" s="86"/>
      <c r="I52" s="86"/>
      <c r="K52" s="50" t="s">
        <v>8</v>
      </c>
    </row>
    <row r="53" spans="2:11" ht="13.9" x14ac:dyDescent="0.4">
      <c r="B53" s="3" t="s">
        <v>85</v>
      </c>
      <c r="C53" s="87">
        <f>MAX(D4,0)</f>
        <v>0</v>
      </c>
      <c r="D53" s="29">
        <f>IF(E53=0, 0,E53/C53)</f>
        <v>0</v>
      </c>
      <c r="E53" s="87">
        <f>IF(C53=0,0,MAX(C53,C53*Dashboard!G23))</f>
        <v>0</v>
      </c>
      <c r="F53" s="86"/>
      <c r="G53" s="86"/>
      <c r="I53" s="41"/>
      <c r="K53" s="33"/>
    </row>
    <row r="54" spans="2:11" ht="15" customHeight="1" x14ac:dyDescent="0.4">
      <c r="C54" s="86"/>
      <c r="D54" s="86"/>
      <c r="E54" s="86"/>
      <c r="F54" s="86"/>
      <c r="G54" s="86"/>
      <c r="I54" s="86"/>
      <c r="K54" s="33"/>
    </row>
    <row r="55" spans="2:11" ht="13.9" x14ac:dyDescent="0.4">
      <c r="B55" s="25" t="s">
        <v>142</v>
      </c>
      <c r="C55" s="3"/>
      <c r="E55" s="123"/>
      <c r="F55" s="3"/>
      <c r="G55" s="3"/>
      <c r="I55" s="86"/>
      <c r="K55" s="33"/>
    </row>
    <row r="56" spans="2:11" ht="13.9" x14ac:dyDescent="0.4">
      <c r="B56" s="20" t="s">
        <v>86</v>
      </c>
      <c r="C56" s="86"/>
      <c r="D56" s="297">
        <f>I15+I34</f>
        <v>109653</v>
      </c>
      <c r="E56" s="295"/>
      <c r="F56" s="3"/>
      <c r="G56" s="3"/>
      <c r="I56" s="56"/>
      <c r="K56" s="33"/>
    </row>
    <row r="57" spans="2:11" ht="13.9" x14ac:dyDescent="0.4">
      <c r="B57" s="20" t="s">
        <v>87</v>
      </c>
      <c r="C57" s="86"/>
      <c r="D57" s="296">
        <f>Inputs!C84</f>
        <v>0</v>
      </c>
      <c r="E57" s="295"/>
      <c r="G57" s="86"/>
      <c r="I57" s="86"/>
      <c r="K57" s="33" t="s">
        <v>88</v>
      </c>
    </row>
    <row r="58" spans="2:11" ht="12.75" customHeight="1" x14ac:dyDescent="0.4">
      <c r="B58" s="20" t="s">
        <v>89</v>
      </c>
      <c r="C58" s="86"/>
      <c r="D58" s="296">
        <f>Inputs!C85</f>
        <v>0</v>
      </c>
      <c r="E58" s="295"/>
      <c r="F58" s="3"/>
      <c r="G58" s="3"/>
      <c r="I58" s="86"/>
      <c r="K58" s="33"/>
    </row>
    <row r="59" spans="2:11" ht="15" customHeight="1" x14ac:dyDescent="0.4">
      <c r="C59" s="86"/>
      <c r="D59" s="86"/>
      <c r="E59" s="86"/>
      <c r="F59" s="86"/>
      <c r="G59" s="86"/>
      <c r="I59" s="86"/>
      <c r="K59" s="33"/>
    </row>
    <row r="60" spans="2:11" ht="13.9" x14ac:dyDescent="0.4">
      <c r="B60" s="25" t="s">
        <v>145</v>
      </c>
      <c r="C60" s="3"/>
      <c r="D60" s="75" t="s">
        <v>90</v>
      </c>
      <c r="E60" s="86"/>
      <c r="F60" s="9"/>
      <c r="G60" s="9"/>
      <c r="I60" s="86"/>
      <c r="K60" s="33"/>
    </row>
    <row r="61" spans="2:11" ht="15" customHeight="1" x14ac:dyDescent="0.4">
      <c r="B61" s="19" t="s">
        <v>91</v>
      </c>
      <c r="C61" s="68">
        <f>C14+C15+(C19*G19)+(C20*G20)+C31+C32+(C35*G35)+(C36*G36)+(C37*G37)</f>
        <v>2456064</v>
      </c>
      <c r="D61" s="56">
        <f t="shared" ref="D61:D70" si="2">IF(E61=0,0,E61/C61)</f>
        <v>0.46489871599437138</v>
      </c>
      <c r="E61" s="52">
        <f>E14+E15+(E19*G19)+(E20*G20)+E31+E32+(E35*G35)+(E36*G36)+(E37*G37)</f>
        <v>1141820.9999999998</v>
      </c>
      <c r="F61" s="86"/>
      <c r="G61" s="86"/>
      <c r="I61" s="86"/>
      <c r="K61" s="33"/>
    </row>
    <row r="62" spans="2:11" ht="13.9" x14ac:dyDescent="0.4">
      <c r="B62" s="35" t="s">
        <v>134</v>
      </c>
      <c r="C62" s="115">
        <f>C11+C30</f>
        <v>922361</v>
      </c>
      <c r="D62" s="106">
        <f t="shared" si="2"/>
        <v>0.9</v>
      </c>
      <c r="E62" s="116">
        <f>E11+E30</f>
        <v>830124.9</v>
      </c>
      <c r="F62" s="86"/>
      <c r="G62" s="86"/>
      <c r="I62" s="86"/>
      <c r="K62" s="33"/>
    </row>
    <row r="63" spans="2:11" ht="13.9" x14ac:dyDescent="0.4">
      <c r="B63" s="19" t="s">
        <v>136</v>
      </c>
      <c r="C63" s="68">
        <f>C61+C62</f>
        <v>3378425</v>
      </c>
      <c r="D63" s="29">
        <f t="shared" si="2"/>
        <v>0.58368793150654519</v>
      </c>
      <c r="E63" s="61">
        <f>E61+E62</f>
        <v>1971945.9</v>
      </c>
      <c r="F63" s="86"/>
      <c r="G63" s="86"/>
      <c r="I63" s="86"/>
      <c r="K63" s="33"/>
    </row>
    <row r="64" spans="2:11" ht="14.25" thickBot="1" x14ac:dyDescent="0.45">
      <c r="B64" s="119" t="s">
        <v>143</v>
      </c>
      <c r="C64" s="203"/>
      <c r="D64" s="203"/>
      <c r="E64" s="69">
        <f>D56+D57+D58</f>
        <v>109653</v>
      </c>
      <c r="F64" s="86"/>
      <c r="G64" s="86"/>
      <c r="I64" s="86"/>
      <c r="K64" s="33"/>
    </row>
    <row r="65" spans="1:11" ht="14.25" thickTop="1" x14ac:dyDescent="0.4">
      <c r="B65" s="3" t="s">
        <v>137</v>
      </c>
      <c r="C65" s="68">
        <f>C63-E64</f>
        <v>3268772</v>
      </c>
      <c r="D65" s="29">
        <f t="shared" si="2"/>
        <v>0.56972248293854688</v>
      </c>
      <c r="E65" s="61">
        <f>E63-E64</f>
        <v>1862292.9</v>
      </c>
      <c r="F65" s="86"/>
      <c r="G65" s="86"/>
      <c r="I65" s="86"/>
      <c r="K65" s="33"/>
    </row>
    <row r="66" spans="1:11" ht="13.9" x14ac:dyDescent="0.4">
      <c r="B66" s="3"/>
      <c r="C66" s="68"/>
      <c r="D66" s="29"/>
      <c r="E66" s="61"/>
      <c r="F66" s="86"/>
      <c r="G66" s="86"/>
      <c r="I66" s="86"/>
      <c r="K66" s="33"/>
    </row>
    <row r="67" spans="1:11" ht="13.9" x14ac:dyDescent="0.4">
      <c r="B67" s="25" t="s">
        <v>146</v>
      </c>
      <c r="C67" s="3"/>
      <c r="D67" s="75" t="s">
        <v>90</v>
      </c>
      <c r="E67" s="61"/>
      <c r="F67" s="86"/>
      <c r="G67" s="86"/>
      <c r="I67" s="86"/>
      <c r="K67" s="33"/>
    </row>
    <row r="68" spans="1:11" ht="13.9" x14ac:dyDescent="0.4">
      <c r="B68" s="19" t="s">
        <v>135</v>
      </c>
      <c r="C68" s="68">
        <f>C49-C63</f>
        <v>-3378425</v>
      </c>
      <c r="D68" s="29">
        <f t="shared" si="2"/>
        <v>-3.33023524275365E-2</v>
      </c>
      <c r="E68" s="68">
        <f>E49-E63</f>
        <v>112509.5</v>
      </c>
      <c r="F68" s="86"/>
      <c r="G68" s="86"/>
      <c r="I68" s="86"/>
      <c r="K68" s="33"/>
    </row>
    <row r="69" spans="1:11" ht="14.25" thickBot="1" x14ac:dyDescent="0.45">
      <c r="B69" s="119" t="s">
        <v>144</v>
      </c>
      <c r="C69" s="203"/>
      <c r="D69" s="203"/>
      <c r="E69" s="124">
        <f>I49-E64</f>
        <v>-109653</v>
      </c>
      <c r="F69" s="86"/>
      <c r="G69" s="86"/>
      <c r="I69" s="86"/>
      <c r="K69" s="33"/>
    </row>
    <row r="70" spans="1:11" ht="14.25" thickTop="1" x14ac:dyDescent="0.4">
      <c r="B70" s="19" t="s">
        <v>138</v>
      </c>
      <c r="C70" s="68">
        <f>C68-E69</f>
        <v>-3268772</v>
      </c>
      <c r="D70" s="29">
        <f t="shared" si="2"/>
        <v>-6.7965125741409921E-2</v>
      </c>
      <c r="E70" s="68">
        <f>E68-E69</f>
        <v>222162.5</v>
      </c>
      <c r="F70" s="86"/>
      <c r="G70" s="86"/>
      <c r="I70" s="86"/>
      <c r="K70" s="33"/>
    </row>
    <row r="72" spans="1:11" ht="15" customHeight="1" x14ac:dyDescent="0.4">
      <c r="A72" s="5"/>
      <c r="B72" s="105" t="s">
        <v>122</v>
      </c>
      <c r="C72" s="284">
        <f>Data!C5</f>
        <v>45291</v>
      </c>
      <c r="D72" s="284"/>
      <c r="E72" s="298" t="s">
        <v>192</v>
      </c>
      <c r="F72" s="298"/>
      <c r="H72" s="298" t="s">
        <v>191</v>
      </c>
      <c r="I72" s="298"/>
      <c r="K72" s="50" t="s">
        <v>8</v>
      </c>
    </row>
    <row r="73" spans="1:11" ht="15" customHeight="1" x14ac:dyDescent="0.4">
      <c r="B73" s="12" t="str">
        <f>"(Numbers in "&amp;Data!C4&amp;Dashboard!G6&amp;")"</f>
        <v>(Numbers in 1000HKD)</v>
      </c>
      <c r="C73" s="285" t="s">
        <v>97</v>
      </c>
      <c r="D73" s="285"/>
      <c r="E73" s="299" t="s">
        <v>98</v>
      </c>
      <c r="F73" s="285"/>
      <c r="H73" s="299" t="s">
        <v>98</v>
      </c>
      <c r="I73" s="285"/>
      <c r="K73" s="24"/>
    </row>
    <row r="74" spans="1:11" ht="15" customHeight="1" x14ac:dyDescent="0.4">
      <c r="B74" s="3" t="s">
        <v>121</v>
      </c>
      <c r="C74" s="77">
        <f>Data!C6</f>
        <v>514856</v>
      </c>
      <c r="D74" s="204"/>
      <c r="E74" s="233">
        <f>Inputs!E91</f>
        <v>514856</v>
      </c>
      <c r="F74" s="204"/>
      <c r="H74" s="233">
        <f>Inputs!F91</f>
        <v>514856</v>
      </c>
      <c r="I74" s="204"/>
      <c r="K74" s="24"/>
    </row>
    <row r="75" spans="1:11" ht="15" customHeight="1" x14ac:dyDescent="0.4">
      <c r="B75" s="103" t="s">
        <v>102</v>
      </c>
      <c r="C75" s="77">
        <f>Data!C8</f>
        <v>232905</v>
      </c>
      <c r="D75" s="156">
        <f>C75/$C$74</f>
        <v>0.45236920614696147</v>
      </c>
      <c r="E75" s="233">
        <f>Inputs!E92</f>
        <v>232905</v>
      </c>
      <c r="F75" s="157">
        <f>E75/E74</f>
        <v>0.45236920614696147</v>
      </c>
      <c r="H75" s="233">
        <f>Inputs!F92</f>
        <v>232905</v>
      </c>
      <c r="I75" s="157">
        <f>H75/$H$74</f>
        <v>0.45236920614696147</v>
      </c>
      <c r="K75" s="24"/>
    </row>
    <row r="76" spans="1:11" ht="15" customHeight="1" x14ac:dyDescent="0.4">
      <c r="B76" s="35" t="s">
        <v>92</v>
      </c>
      <c r="C76" s="158">
        <f>C74-C75</f>
        <v>281951</v>
      </c>
      <c r="D76" s="205"/>
      <c r="E76" s="159">
        <f>E74-E75</f>
        <v>281951</v>
      </c>
      <c r="F76" s="205"/>
      <c r="H76" s="159">
        <f>H74-H75</f>
        <v>281951</v>
      </c>
      <c r="I76" s="205"/>
      <c r="K76" s="24"/>
    </row>
    <row r="77" spans="1:11" ht="15" customHeight="1" x14ac:dyDescent="0.4">
      <c r="B77" s="103" t="s">
        <v>230</v>
      </c>
      <c r="C77" s="77">
        <f>Data!C10+MAX(Data!C11,0)</f>
        <v>390283</v>
      </c>
      <c r="D77" s="156">
        <f>C77/$C$74</f>
        <v>0.75804302562269843</v>
      </c>
      <c r="E77" s="233">
        <f>Inputs!E93</f>
        <v>390283</v>
      </c>
      <c r="F77" s="157">
        <f>E77/E74</f>
        <v>0.75804302562269843</v>
      </c>
      <c r="H77" s="233">
        <f>Inputs!F93</f>
        <v>390283</v>
      </c>
      <c r="I77" s="157">
        <f>H77/$H$74</f>
        <v>0.75804302562269843</v>
      </c>
      <c r="K77" s="24"/>
    </row>
    <row r="78" spans="1:11" ht="15" customHeight="1" x14ac:dyDescent="0.4">
      <c r="B78" s="73" t="s">
        <v>161</v>
      </c>
      <c r="C78" s="77">
        <f>MAX(Data!C12,0)</f>
        <v>0</v>
      </c>
      <c r="D78" s="156">
        <f>C78/$C$74</f>
        <v>0</v>
      </c>
      <c r="E78" s="177">
        <f>E74*F78</f>
        <v>0</v>
      </c>
      <c r="F78" s="157">
        <f>I78</f>
        <v>0</v>
      </c>
      <c r="H78" s="233">
        <f>Inputs!F97</f>
        <v>0</v>
      </c>
      <c r="I78" s="157">
        <f>H78/$H$74</f>
        <v>0</v>
      </c>
      <c r="K78" s="24"/>
    </row>
    <row r="79" spans="1:11" ht="15" customHeight="1" x14ac:dyDescent="0.4">
      <c r="B79" s="251" t="s">
        <v>217</v>
      </c>
      <c r="C79" s="252">
        <f>C76-C77-C78</f>
        <v>-108332</v>
      </c>
      <c r="D79" s="253">
        <f>C79/C74</f>
        <v>-0.21041223176965987</v>
      </c>
      <c r="E79" s="254">
        <f>E76-E77-E78</f>
        <v>-108332</v>
      </c>
      <c r="F79" s="253">
        <f>E79/E74</f>
        <v>-0.21041223176965987</v>
      </c>
      <c r="G79" s="255"/>
      <c r="H79" s="254">
        <f>H76-H77-H78</f>
        <v>-108332</v>
      </c>
      <c r="I79" s="253">
        <f>H79/H74</f>
        <v>-0.21041223176965987</v>
      </c>
      <c r="K79" s="24"/>
    </row>
    <row r="80" spans="1:11" ht="15" customHeight="1" x14ac:dyDescent="0.4">
      <c r="B80" s="28" t="s">
        <v>106</v>
      </c>
      <c r="C80" s="77">
        <f>MAX(Data!C16,0)</f>
        <v>0</v>
      </c>
      <c r="D80" s="156">
        <f>C80/$C$74</f>
        <v>0</v>
      </c>
      <c r="E80" s="177">
        <f>E74*F80</f>
        <v>0</v>
      </c>
      <c r="F80" s="157">
        <f>I80</f>
        <v>0</v>
      </c>
      <c r="H80" s="233">
        <f>Inputs!F96</f>
        <v>0</v>
      </c>
      <c r="I80" s="157">
        <f>H80/$H$74</f>
        <v>0</v>
      </c>
      <c r="K80" s="178" t="s">
        <v>126</v>
      </c>
    </row>
    <row r="81" spans="1:11" ht="15" customHeight="1" x14ac:dyDescent="0.4">
      <c r="B81" s="103" t="s">
        <v>238</v>
      </c>
      <c r="C81" s="77">
        <f>MAX(Data!C17,0)</f>
        <v>7447</v>
      </c>
      <c r="D81" s="156">
        <f>C81/$C$74</f>
        <v>1.4464238544369687E-2</v>
      </c>
      <c r="E81" s="177">
        <f>E74*F81</f>
        <v>7447</v>
      </c>
      <c r="F81" s="157">
        <f>I81</f>
        <v>1.4464238544369687E-2</v>
      </c>
      <c r="H81" s="233">
        <f>Inputs!F94</f>
        <v>7447</v>
      </c>
      <c r="I81" s="157">
        <f>H81/$H$74</f>
        <v>1.4464238544369687E-2</v>
      </c>
      <c r="K81" s="24"/>
    </row>
    <row r="82" spans="1:11" ht="15" customHeight="1" x14ac:dyDescent="0.4">
      <c r="B82" s="28" t="s">
        <v>229</v>
      </c>
      <c r="C82" s="77">
        <f>ABS(MAX(Data!C21,0)-MAX(Data!C19,0))</f>
        <v>0</v>
      </c>
      <c r="D82" s="156">
        <f>C82/$C$74</f>
        <v>0</v>
      </c>
      <c r="E82" s="233">
        <f>Inputs!E95</f>
        <v>0</v>
      </c>
      <c r="F82" s="157">
        <f>E82/E74</f>
        <v>0</v>
      </c>
      <c r="H82" s="233">
        <f>Inputs!F95</f>
        <v>0</v>
      </c>
      <c r="I82" s="157">
        <f>H82/$H$74</f>
        <v>0</v>
      </c>
      <c r="K82" s="24"/>
    </row>
    <row r="83" spans="1:11" ht="15" customHeight="1" thickBot="1" x14ac:dyDescent="0.45">
      <c r="B83" s="104" t="s">
        <v>120</v>
      </c>
      <c r="C83" s="160">
        <f>C79-C81-C82-C80</f>
        <v>-115779</v>
      </c>
      <c r="D83" s="161">
        <f>C83/$C$74</f>
        <v>-0.22487647031402955</v>
      </c>
      <c r="E83" s="162">
        <f>E79-E81-E82-E80</f>
        <v>-115779</v>
      </c>
      <c r="F83" s="161">
        <f>E83/E74</f>
        <v>-0.22487647031402955</v>
      </c>
      <c r="H83" s="162">
        <f>H79-H81-H82-H80</f>
        <v>-115779</v>
      </c>
      <c r="I83" s="161">
        <f>H83/$H$74</f>
        <v>-0.22487647031402955</v>
      </c>
      <c r="K83" s="24"/>
    </row>
    <row r="84" spans="1:11" ht="15" customHeight="1" thickTop="1" x14ac:dyDescent="0.4">
      <c r="B84" s="28" t="s">
        <v>93</v>
      </c>
      <c r="C84" s="206"/>
      <c r="D84" s="156">
        <f>I84</f>
        <v>0.25</v>
      </c>
      <c r="E84" s="207"/>
      <c r="F84" s="176">
        <f t="shared" ref="F84" si="3">I84</f>
        <v>0.25</v>
      </c>
      <c r="H84" s="207"/>
      <c r="I84" s="199">
        <f>Inputs!C16</f>
        <v>0.25</v>
      </c>
      <c r="K84" s="24"/>
    </row>
    <row r="85" spans="1:11" ht="15" customHeight="1" x14ac:dyDescent="0.4">
      <c r="B85" s="258" t="s">
        <v>156</v>
      </c>
      <c r="C85" s="252">
        <f>C83*(1-I84)</f>
        <v>-86834.25</v>
      </c>
      <c r="D85" s="253">
        <f>C85/$C$74</f>
        <v>-0.16865735273552215</v>
      </c>
      <c r="E85" s="259">
        <f>E83*(1-F84)</f>
        <v>-86834.25</v>
      </c>
      <c r="F85" s="253">
        <f>E85/E74</f>
        <v>-0.16865735273552215</v>
      </c>
      <c r="G85" s="255"/>
      <c r="H85" s="259">
        <f>H83*(1-I84)</f>
        <v>-86834.25</v>
      </c>
      <c r="I85" s="253">
        <f>H85/$H$74</f>
        <v>-0.16865735273552215</v>
      </c>
      <c r="K85" s="24"/>
    </row>
    <row r="86" spans="1:11" ht="15" customHeight="1" x14ac:dyDescent="0.4">
      <c r="B86" s="86" t="s">
        <v>152</v>
      </c>
      <c r="C86" s="164">
        <f>C85*Data!C4/Common_Shares</f>
        <v>-4.7535870083059754E-2</v>
      </c>
      <c r="D86" s="204"/>
      <c r="E86" s="165">
        <f>E85*Data!C4/Common_Shares</f>
        <v>-4.7535870083059754E-2</v>
      </c>
      <c r="F86" s="204"/>
      <c r="H86" s="165">
        <f>H85*Data!C4/Common_Shares</f>
        <v>-4.7535870083059754E-2</v>
      </c>
      <c r="I86" s="204"/>
      <c r="K86" s="24"/>
    </row>
    <row r="87" spans="1:11" ht="15" customHeight="1" x14ac:dyDescent="0.4">
      <c r="B87" s="86" t="s">
        <v>194</v>
      </c>
      <c r="C87" s="256">
        <f>C86*Exchange_Rate/Dashboard!G3</f>
        <v>-3.1480708664277983E-2</v>
      </c>
      <c r="D87" s="204"/>
      <c r="E87" s="257">
        <f>E86*Exchange_Rate/Dashboard!G3</f>
        <v>-3.1480708664277983E-2</v>
      </c>
      <c r="F87" s="204"/>
      <c r="H87" s="257">
        <f>H86*Exchange_Rate/Dashboard!G3</f>
        <v>-3.1480708664277983E-2</v>
      </c>
      <c r="I87" s="204"/>
      <c r="K87" s="24"/>
    </row>
    <row r="88" spans="1:11" ht="15" customHeight="1" x14ac:dyDescent="0.4">
      <c r="B88" s="85" t="s">
        <v>193</v>
      </c>
      <c r="C88" s="166">
        <f>Inputs!C44</f>
        <v>0.5</v>
      </c>
      <c r="D88" s="163">
        <f>C88/C86</f>
        <v>-10.51837273886744</v>
      </c>
      <c r="E88" s="167">
        <f>Inputs!E98</f>
        <v>0</v>
      </c>
      <c r="F88" s="163">
        <f>E88/E86</f>
        <v>0</v>
      </c>
      <c r="H88" s="167">
        <f>Inputs!F98</f>
        <v>0.03</v>
      </c>
      <c r="I88" s="163">
        <f>H88/H86</f>
        <v>-0.63110236433204636</v>
      </c>
      <c r="K88" s="24"/>
    </row>
    <row r="89" spans="1:11" ht="15" customHeight="1" x14ac:dyDescent="0.4">
      <c r="B89" s="86" t="s">
        <v>206</v>
      </c>
      <c r="C89" s="256">
        <f>C88*Exchange_Rate/Dashboard!G3</f>
        <v>0.33112582781456956</v>
      </c>
      <c r="D89" s="204"/>
      <c r="E89" s="256">
        <f>E88*Exchange_Rate/Dashboard!G3</f>
        <v>0</v>
      </c>
      <c r="F89" s="204"/>
      <c r="H89" s="256">
        <f>H88*Exchange_Rate/Dashboard!G3</f>
        <v>1.9867549668874173E-2</v>
      </c>
      <c r="I89" s="204"/>
      <c r="K89" s="24"/>
    </row>
    <row r="90" spans="1:11" ht="15" customHeight="1" x14ac:dyDescent="0.4">
      <c r="B90" s="28"/>
      <c r="C90" s="87"/>
    </row>
    <row r="91" spans="1:11" ht="15" customHeight="1" x14ac:dyDescent="0.4">
      <c r="A91" s="5"/>
      <c r="B91" s="105" t="str">
        <f xml:space="preserve"> "Valuation Drivers in "&amp;Dashboard!H3</f>
        <v>Valuation Drivers in HKD</v>
      </c>
      <c r="C91" s="21"/>
      <c r="K91" s="50" t="s">
        <v>127</v>
      </c>
    </row>
    <row r="92" spans="1:11" ht="15" customHeight="1" x14ac:dyDescent="0.4">
      <c r="B92" s="10" t="s">
        <v>147</v>
      </c>
      <c r="C92" s="195" t="str">
        <f>Inputs!C15</f>
        <v>CN</v>
      </c>
      <c r="D92" s="10" t="s">
        <v>148</v>
      </c>
      <c r="E92" s="298" t="s">
        <v>192</v>
      </c>
      <c r="F92" s="298"/>
      <c r="G92" s="86"/>
      <c r="H92" s="298" t="s">
        <v>191</v>
      </c>
      <c r="I92" s="298"/>
      <c r="K92" s="24"/>
    </row>
    <row r="93" spans="1:11" ht="15" customHeight="1" x14ac:dyDescent="0.4">
      <c r="B93" s="1" t="str">
        <f>C92&amp;" Discount Rate"</f>
        <v>CN Discount Rate</v>
      </c>
      <c r="C93" s="134">
        <f>IF(C92="CN",Dashboard!C17,IF(C92="US",Dashboard!C12,IF(C92="HK",Dashboard!D12,Dashboard!D17)))</f>
        <v>8.6249999999999993E-2</v>
      </c>
      <c r="D93" s="234">
        <f>Inputs!C86</f>
        <v>5</v>
      </c>
      <c r="E93" s="86" t="s">
        <v>195</v>
      </c>
      <c r="F93" s="142">
        <f>FV(E87,D93,0,-(E86/(C93-D94)))*Exchange_Rate</f>
        <v>-0.61147251791293855</v>
      </c>
      <c r="H93" s="86" t="s">
        <v>195</v>
      </c>
      <c r="I93" s="142">
        <f>FV(H87,D93,0,-(H86/(C93-D94)))*Exchange_Rate</f>
        <v>-0.61147251791293855</v>
      </c>
      <c r="K93" s="24"/>
    </row>
    <row r="94" spans="1:11" ht="15" customHeight="1" x14ac:dyDescent="0.4">
      <c r="B94" s="1" t="s">
        <v>197</v>
      </c>
      <c r="C94" s="179">
        <f>Dashboard!G20</f>
        <v>0.15</v>
      </c>
      <c r="D94" s="265">
        <f>Inputs!D87</f>
        <v>0.02</v>
      </c>
      <c r="E94" s="86" t="s">
        <v>196</v>
      </c>
      <c r="F94" s="142">
        <f>FV(E89,D93,0,-(E88/(C93-D94)))*Exchange_Rate</f>
        <v>0</v>
      </c>
      <c r="H94" s="86" t="s">
        <v>196</v>
      </c>
      <c r="I94" s="142">
        <f>FV(H89,D93,0,-(H88/(C93-D94)))*Exchange_Rate</f>
        <v>0.49963659480200989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5" t="str">
        <f xml:space="preserve"> "Valuation in "&amp;Dashboard!H3</f>
        <v>Valuation in HKD</v>
      </c>
      <c r="C96" s="125" t="str">
        <f>Dashboard!H3</f>
        <v>HKD</v>
      </c>
      <c r="D96" s="122" t="s">
        <v>199</v>
      </c>
      <c r="E96" s="180" t="str">
        <f>E72</f>
        <v>Pessimistic Case</v>
      </c>
      <c r="F96" s="222" t="s">
        <v>222</v>
      </c>
      <c r="H96" s="180" t="str">
        <f>H72</f>
        <v>Base Case</v>
      </c>
      <c r="I96" s="122" t="s">
        <v>111</v>
      </c>
      <c r="K96" s="24"/>
    </row>
    <row r="97" spans="2:11" ht="15" customHeight="1" x14ac:dyDescent="0.4">
      <c r="B97" s="1" t="s">
        <v>125</v>
      </c>
      <c r="C97" s="90">
        <f>H97*Common_Shares/Data!C4</f>
        <v>-555337.94789012568</v>
      </c>
      <c r="D97" s="208"/>
      <c r="E97" s="121">
        <f>PV(C94,D93,0,-F93)</f>
        <v>-0.30400991018057988</v>
      </c>
      <c r="F97" s="208"/>
      <c r="H97" s="121">
        <f>PV(C94,D93,0,-I93)</f>
        <v>-0.30400991018057988</v>
      </c>
      <c r="I97" s="121">
        <f>PV(C93,D93,0,-I93)</f>
        <v>-0.4043225797322394</v>
      </c>
      <c r="K97" s="24"/>
    </row>
    <row r="98" spans="2:11" ht="15" customHeight="1" x14ac:dyDescent="0.4">
      <c r="B98" s="28" t="s">
        <v>139</v>
      </c>
      <c r="C98" s="90">
        <f>-E53*Exchange_Rate</f>
        <v>0</v>
      </c>
      <c r="D98" s="208"/>
      <c r="E98" s="208"/>
      <c r="F98" s="208"/>
      <c r="H98" s="121">
        <f>C98*Data!$C$4/Common_Shares</f>
        <v>0</v>
      </c>
      <c r="I98" s="210"/>
      <c r="K98" s="24"/>
    </row>
    <row r="99" spans="2:11" ht="15" customHeight="1" thickBot="1" x14ac:dyDescent="0.45">
      <c r="B99" s="104" t="s">
        <v>140</v>
      </c>
      <c r="C99" s="107">
        <f>(E65-IF(E70&lt;0,MIN(E65,ABS(E70)),0))*Exchange_Rate</f>
        <v>1862292.9</v>
      </c>
      <c r="D99" s="209"/>
      <c r="E99" s="143">
        <f>IF(H99&gt;0,H99*(1-C94),H99*(1+C94))</f>
        <v>0.86655733594006845</v>
      </c>
      <c r="F99" s="209"/>
      <c r="H99" s="143">
        <f>C99*Data!$C$4/Common_Shares</f>
        <v>1.0194792187530217</v>
      </c>
      <c r="I99" s="211"/>
      <c r="K99" s="24"/>
    </row>
    <row r="100" spans="2:11" ht="15" customHeight="1" thickTop="1" x14ac:dyDescent="0.4">
      <c r="B100" s="1" t="s">
        <v>111</v>
      </c>
      <c r="C100" s="90">
        <f>C97+C98+$C$99</f>
        <v>1306954.9521098742</v>
      </c>
      <c r="D100" s="108">
        <f>MIN(F100*(1-C94),E100)</f>
        <v>0.54315711209107043</v>
      </c>
      <c r="E100" s="108">
        <f>MAX(E97+H98+E99,0)</f>
        <v>0.56254742575948857</v>
      </c>
      <c r="F100" s="108">
        <f>(E100+H100)/2</f>
        <v>0.63900836716596521</v>
      </c>
      <c r="H100" s="108">
        <f>MAX(C100*Data!$C$4/Common_Shares,0)</f>
        <v>0.71546930857244184</v>
      </c>
      <c r="I100" s="108">
        <f>MAX(I97+H98+H99,0)</f>
        <v>0.61515663902078233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154</v>
      </c>
      <c r="C102" s="125" t="str">
        <f>C96</f>
        <v>HKD</v>
      </c>
      <c r="D102" s="122" t="s">
        <v>199</v>
      </c>
      <c r="E102" s="180" t="str">
        <f>E96</f>
        <v>Pessimistic Case</v>
      </c>
      <c r="F102" s="222" t="s">
        <v>222</v>
      </c>
      <c r="H102" s="180" t="str">
        <f>H96</f>
        <v>Base Case</v>
      </c>
      <c r="I102" s="122" t="s">
        <v>111</v>
      </c>
      <c r="K102" s="24"/>
    </row>
    <row r="103" spans="2:11" ht="15" customHeight="1" x14ac:dyDescent="0.4">
      <c r="B103" s="1" t="s">
        <v>153</v>
      </c>
      <c r="C103" s="90">
        <f>H103*Common_Shares/Data!C4</f>
        <v>453768.81727277255</v>
      </c>
      <c r="D103" s="108">
        <f>MIN(F103*(1-C94),E103)</f>
        <v>0</v>
      </c>
      <c r="E103" s="121">
        <f>PV(C94,D93,0,-F94)</f>
        <v>0</v>
      </c>
      <c r="F103" s="108">
        <f>(E103+H103)/2</f>
        <v>0.12420384551960889</v>
      </c>
      <c r="H103" s="121">
        <f>PV(C94,D93,0,-I94)</f>
        <v>0.24840769103921778</v>
      </c>
      <c r="I103" s="108">
        <f>PV(C93,D93,0,-I94)</f>
        <v>0.33037356712038368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183</v>
      </c>
      <c r="C105" s="125" t="str">
        <f>C102</f>
        <v>HKD</v>
      </c>
      <c r="D105" s="122" t="s">
        <v>199</v>
      </c>
      <c r="E105" s="181" t="str">
        <f>E96</f>
        <v>Pessimistic Case</v>
      </c>
      <c r="F105" s="222" t="s">
        <v>222</v>
      </c>
      <c r="H105" s="181" t="str">
        <f>H96</f>
        <v>Base Case</v>
      </c>
      <c r="I105" s="122" t="s">
        <v>111</v>
      </c>
      <c r="K105" s="24"/>
    </row>
    <row r="106" spans="2:11" ht="15" customHeight="1" x14ac:dyDescent="0.4">
      <c r="B106" s="1" t="s">
        <v>184</v>
      </c>
      <c r="C106" s="90">
        <f>E106*Common_Shares/Data!C4</f>
        <v>513805.50855493709</v>
      </c>
      <c r="D106" s="108">
        <f>(D100+D103)/2</f>
        <v>0.27157855604553521</v>
      </c>
      <c r="E106" s="121">
        <f>(E100+E103)/2</f>
        <v>0.28127371287974429</v>
      </c>
      <c r="F106" s="108">
        <f>(F100+F103)/2</f>
        <v>0.38160610634278702</v>
      </c>
      <c r="H106" s="121">
        <f>(H100+H103)/2</f>
        <v>0.48193849980582981</v>
      </c>
      <c r="I106" s="121">
        <f>(I100+I103)/2</f>
        <v>0.472765103070583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157</v>
      </c>
      <c r="C108" s="126" t="str">
        <f>Inputs!C87</f>
        <v>Profit</v>
      </c>
      <c r="K108" s="24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2024-12-18T02:18:50Z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