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F0D2E93-9D38-47CF-8826-76F0ED9D39C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B47" i="4"/>
  <c r="C49" i="3"/>
  <c r="E56" i="2"/>
  <c r="F56" i="2"/>
  <c r="G56" i="2"/>
  <c r="H56" i="2"/>
  <c r="I56" i="2"/>
  <c r="J56" i="2"/>
  <c r="L56" i="2"/>
  <c r="M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E92" i="4" l="1"/>
  <c r="F97" i="4"/>
  <c r="D53" i="4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<sst xmlns="http://schemas.openxmlformats.org/spreadsheetml/2006/main" count="392" uniqueCount="276">
  <si>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</si>
  <si>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</si>
  <si>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</si>
  <si>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</si>
  <si>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</si>
  <si>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</si>
  <si>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</si>
  <si>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</si>
  <si>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</si>
  <si>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</si>
  <si>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</si>
  <si>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</si>
  <si>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</si>
  <si>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</si>
  <si>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</si>
  <si>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</si>
  <si>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</si>
  <si>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</si>
  <si>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</si>
  <si>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</si>
  <si>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</si>
  <si>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</si>
  <si>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</si>
  <si>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</si>
  <si>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</si>
  <si>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</si>
  <si>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</si>
  <si>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</si>
  <si>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</si>
  <si>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</si>
  <si>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</si>
  <si>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</si>
  <si>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</si>
  <si>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</si>
  <si>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</si>
  <si>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</si>
  <si>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</si>
  <si>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</si>
  <si>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</si>
  <si>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</si>
  <si>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</si>
  <si>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</si>
  <si>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</si>
  <si>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</si>
  <si>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</si>
  <si>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</si>
  <si>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</si>
  <si>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</si>
  <si>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</si>
  <si>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</si>
  <si>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</si>
  <si>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</si>
  <si>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</si>
  <si>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</si>
  <si>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</si>
  <si>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</si>
  <si>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</si>
  <si>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</si>
  <si>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</si>
  <si>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</si>
  <si>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</si>
  <si>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</si>
  <si>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</si>
  <si>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</si>
  <si>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</si>
  <si>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</si>
  <si>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</si>
  <si>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</si>
  <si>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</si>
  <si>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</si>
  <si>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</si>
  <si>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</si>
  <si>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</si>
  <si>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</si>
  <si>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</si>
  <si>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</si>
  <si>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</si>
  <si>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</si>
  <si>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</si>
  <si>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</si>
  <si>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</si>
  <si>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</si>
  <si>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</si>
  <si>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</si>
  <si>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</si>
  <si>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</si>
  <si>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</si>
  <si>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</si>
  <si>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</si>
  <si>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</si>
  <si>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</si>
  <si>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</si>
  <si>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</si>
  <si>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</si>
  <si>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</si>
  <si>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</si>
  <si>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</si>
  <si>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</si>
  <si>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</si>
  <si>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</si>
  <si>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</si>
  <si>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</si>
  <si>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</si>
  <si>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</si>
  <si>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</si>
  <si>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</si>
  <si>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</si>
  <si>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</si>
  <si>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</si>
  <si>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</si>
  <si>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</si>
  <si>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</si>
  <si>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</si>
  <si>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</si>
  <si>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</si>
  <si>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</si>
  <si>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</si>
  <si>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</si>
  <si>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</si>
  <si>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</si>
  <si>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</si>
  <si>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</si>
  <si>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</si>
  <si>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</si>
  <si>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</si>
  <si>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</si>
  <si>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</si>
  <si>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</si>
  <si>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</si>
  <si>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</si>
  <si>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</si>
  <si>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</si>
  <si>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</si>
  <si>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</si>
  <si>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</si>
  <si>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</si>
  <si>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</si>
  <si>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</si>
  <si>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</si>
  <si>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</si>
  <si>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</si>
  <si>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</si>
  <si>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</si>
  <si>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</si>
  <si>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</si>
  <si>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</si>
  <si>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</si>
  <si>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</si>
  <si>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</si>
  <si>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</si>
  <si>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</si>
  <si>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</si>
  <si>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</si>
  <si>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</si>
  <si>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</si>
  <si>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</si>
  <si>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</si>
  <si>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</si>
  <si>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</si>
  <si>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</si>
  <si>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</si>
  <si>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</si>
  <si>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</si>
  <si>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</si>
  <si>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</si>
  <si>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</si>
  <si>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</si>
  <si>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</si>
  <si>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</si>
  <si>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</si>
  <si>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</si>
  <si>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</si>
  <si>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</si>
  <si>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</si>
  <si>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</si>
  <si>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</si>
  <si>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</si>
  <si>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</si>
  <si>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</si>
  <si>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</si>
  <si>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</si>
  <si>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</si>
  <si>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</si>
  <si>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</si>
  <si>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</si>
  <si>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</si>
  <si>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</si>
  <si>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</si>
  <si>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</si>
  <si>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</si>
  <si>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</si>
  <si>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</si>
  <si>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</si>
  <si>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</si>
  <si>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</si>
  <si>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</si>
  <si>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</si>
  <si>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</si>
  <si>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</si>
  <si>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</si>
  <si>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</si>
  <si>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</si>
  <si>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</si>
  <si>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</si>
  <si>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</si>
  <si>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</si>
  <si>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</si>
  <si>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</si>
  <si>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</si>
  <si>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</si>
  <si>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</si>
  <si>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</si>
  <si>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</si>
  <si>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</si>
  <si>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</si>
  <si>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</si>
  <si>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</si>
  <si>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</si>
  <si>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</si>
  <si>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</si>
  <si>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</si>
  <si>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</si>
  <si>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</si>
  <si>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</si>
  <si>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</si>
  <si>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</si>
  <si>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</si>
  <si>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</si>
  <si>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</si>
  <si>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</si>
  <si>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</si>
  <si>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</si>
  <si>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</si>
  <si>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</si>
  <si>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</si>
  <si>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</si>
  <si>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</si>
  <si>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</si>
  <si>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</si>
  <si>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</si>
  <si>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</si>
  <si>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</si>
  <si>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</si>
  <si>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</si>
  <si>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</si>
  <si>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</si>
  <si>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</si>
  <si>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</si>
  <si>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</si>
  <si>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</si>
  <si>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</si>
  <si>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</si>
  <si>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</si>
  <si>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</si>
  <si>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</si>
  <si>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</si>
  <si>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</si>
  <si>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</si>
  <si>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</si>
  <si>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</si>
  <si>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</si>
  <si>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</si>
  <si>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</si>
  <si>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</si>
  <si>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</si>
  <si>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</si>
  <si>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</si>
  <si>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</si>
  <si>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</si>
  <si>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</si>
  <si>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1405.HK</t>
  </si>
  <si>
    <t>達勢股份</t>
  </si>
  <si>
    <t>C0002</t>
  </si>
  <si>
    <t>CNY</t>
  </si>
  <si>
    <t>Strongly 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</si>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</sst>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45603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130481963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274</v>
      </c>
      <c r="D18" s="24"/>
    </row>
    <row r="19" spans="2:13" ht="13.9" x14ac:dyDescent="0.4">
      <c r="B19" s="235" t="s">
        <v>223</v>
      </c>
      <c r="C19" s="237" t="s">
        <v>274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3050715</v>
      </c>
      <c r="D25" s="147">
        <v>2020789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2577476</v>
      </c>
      <c r="D26" s="148">
        <v>1776546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549856</v>
      </c>
      <c r="D27" s="148">
        <v>395166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54645</v>
      </c>
      <c r="D29" s="148">
        <v>78321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0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3050715</v>
      </c>
      <c r="D91" s="204"/>
      <c r="E91" s="246">
        <f>C91</f>
        <v>3050715</v>
      </c>
      <c r="F91" s="246">
        <f>C91</f>
        <v>3050715</v>
      </c>
    </row>
    <row r="92" spans="2:8" ht="13.9" x14ac:dyDescent="0.4">
      <c r="B92" s="103" t="s">
        <v>101</v>
      </c>
      <c r="C92" s="77">
        <f>C26</f>
        <v>2577476</v>
      </c>
      <c r="D92" s="156">
        <f>C92/C91</f>
        <v>0.8448760372568398</v>
      </c>
      <c r="E92" s="247">
        <f>E91*D92</f>
        <v>2577476</v>
      </c>
      <c r="F92" s="247">
        <f>F91*D92</f>
        <v>2577476</v>
      </c>
    </row>
    <row r="93" spans="2:8" ht="13.9" x14ac:dyDescent="0.4">
      <c r="B93" s="103" t="s">
        <v>229</v>
      </c>
      <c r="C93" s="77">
        <f>C27+C28</f>
        <v>549856</v>
      </c>
      <c r="D93" s="156">
        <f>C93/C91</f>
        <v>0.18023840312844694</v>
      </c>
      <c r="E93" s="247">
        <f>E91*D93</f>
        <v>549856</v>
      </c>
      <c r="F93" s="247">
        <f>F91*D93</f>
        <v>549856</v>
      </c>
    </row>
    <row r="94" spans="2:8" ht="13.9" x14ac:dyDescent="0.4">
      <c r="B94" s="103" t="s">
        <v>237</v>
      </c>
      <c r="C94" s="77">
        <f>C29</f>
        <v>54645</v>
      </c>
      <c r="D94" s="156">
        <f>C94/C91</f>
        <v>1.7912194354438221E-2</v>
      </c>
      <c r="E94" s="248"/>
      <c r="F94" s="247">
        <f>F91*D94</f>
        <v>54645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0</v>
      </c>
      <c r="D98" s="261"/>
      <c r="E98" s="249">
        <f>F98</f>
        <v>0</v>
      </c>
      <c r="F98" s="249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1405.HK</v>
      </c>
      <c r="D3" s="291"/>
      <c r="E3" s="86"/>
      <c r="F3" s="3" t="s">
        <v>1</v>
      </c>
      <c r="G3" s="130">
        <v>80.349999999999994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達勢股份</v>
      </c>
      <c r="D4" s="293"/>
      <c r="E4" s="86"/>
      <c r="F4" s="3" t="s">
        <v>2</v>
      </c>
      <c r="G4" s="296">
        <f>Inputs!C10</f>
        <v>130481963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45603</v>
      </c>
      <c r="D5" s="295"/>
      <c r="E5" s="34"/>
      <c r="F5" s="35" t="s">
        <v>95</v>
      </c>
      <c r="G5" s="288">
        <f>G3*G4/1000000</f>
        <v>10484.225727049999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C0002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-2.5114440385286728E-2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1.7912194354438221E-2</v>
      </c>
      <c r="F24" s="138" t="s">
        <v>240</v>
      </c>
      <c r="G24" s="263">
        <f>G3/(Fin_Analysis!H86*G7)</f>
        <v>-99.774942736967645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0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178</v>
      </c>
      <c r="G26" s="175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0</v>
      </c>
      <c r="D29" s="127">
        <f>G29*(1+G20)</f>
        <v>0</v>
      </c>
      <c r="E29" s="86"/>
      <c r="F29" s="129">
        <f>IF(Fin_Analysis!C108="Profit",Fin_Analysis!F100,IF(Fin_Analysis!C108="Dividend",Fin_Analysis!F103,Fin_Analysis!F106))</f>
        <v>0</v>
      </c>
      <c r="G29" s="287">
        <f>IF(Fin_Analysis!C108="Profit",Fin_Analysis!I100,IF(Fin_Analysis!C108="Dividend",Fin_Analysis!I103,Fin_Analysis!I106))</f>
        <v>0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Strongly disagree</v>
      </c>
    </row>
    <row r="37" spans="1:3" ht="15.75" customHeight="1" x14ac:dyDescent="0.4">
      <c r="A37"/>
      <c r="B37" s="20" t="s">
        <v>223</v>
      </c>
      <c r="C37" s="240" t="str">
        <f>Inputs!C19</f>
        <v>Strongly disagree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-76617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3050715</v>
      </c>
      <c r="D6" s="197">
        <f>IF(Inputs!D25="","",Inputs!D25)</f>
        <v>2020789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0.50966528420334822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2577476</v>
      </c>
      <c r="D8" s="196">
        <f>IF(Inputs!D26="","",Inputs!D26)</f>
        <v>1776546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473239</v>
      </c>
      <c r="D9" s="149">
        <f t="shared" si="2"/>
        <v>244243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549856</v>
      </c>
      <c r="D10" s="196">
        <f>IF(Inputs!D27="","",Inputs!D27)</f>
        <v>395166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 t="str">
        <f>IF(Inputs!C30="","",MAX(Inputs!C30,0)/(1-Fin_Analysis!$I$84))</f>
        <v/>
      </c>
      <c r="D12" s="196" t="str">
        <f>IF(Inputs!D30="","",MAX(Inputs!D30,0)/(1-Fin_Analysis!$I$84))</f>
        <v/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-2.5114440385286728E-2</v>
      </c>
      <c r="D13" s="224">
        <f t="shared" si="3"/>
        <v>-7.4685184846117039E-2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-76617</v>
      </c>
      <c r="D14" s="225">
        <f t="shared" ref="D14:M14" si="4">IF(D6="","",D9-D10-MAX(D11,0)-MAX(D12,0))</f>
        <v>-150923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0.49234377795299589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54645</v>
      </c>
      <c r="D17" s="196">
        <f>IF(Inputs!D29="","",Inputs!D29)</f>
        <v>78321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-131262</v>
      </c>
      <c r="D22" s="158">
        <f t="shared" ref="D22:M22" si="8">IF(D6="","",D14-MAX(D16,0)-MAX(D17,0)-ABS(MAX(D21,0)-MAX(D19,0)))</f>
        <v>-229244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-3.226997605479371E-2</v>
      </c>
      <c r="D23" s="151">
        <f t="shared" si="9"/>
        <v>-8.5082113966376494E-2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0.42741358552459391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0.8448760372568398</v>
      </c>
      <c r="D40" s="154">
        <f t="shared" si="34"/>
        <v>0.87913483297860395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0.18023840312844694</v>
      </c>
      <c r="D41" s="151">
        <f t="shared" si="35"/>
        <v>0.19555035186751313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1.7912194354438221E-2</v>
      </c>
      <c r="D43" s="151">
        <f t="shared" si="37"/>
        <v>3.8757633775718295E-2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-4.3026634739724949E-2</v>
      </c>
      <c r="D46" s="151">
        <f t="shared" si="40"/>
        <v>-0.11344281862183533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-0.41630479499017231</v>
      </c>
      <c r="D55" s="151">
        <f t="shared" si="47"/>
        <v>-0.34164907260386312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3050715</v>
      </c>
      <c r="D74" s="204"/>
      <c r="E74" s="233">
        <f>Inputs!E91</f>
        <v>3050715</v>
      </c>
      <c r="F74" s="204"/>
      <c r="H74" s="233">
        <f>Inputs!F91</f>
        <v>3050715</v>
      </c>
      <c r="I74" s="204"/>
      <c r="K74" s="24"/>
    </row>
    <row r="75" spans="1:11" ht="15" customHeight="1" x14ac:dyDescent="0.4">
      <c r="B75" s="103" t="s">
        <v>101</v>
      </c>
      <c r="C75" s="77">
        <f>Data!C8</f>
        <v>2577476</v>
      </c>
      <c r="D75" s="156">
        <f>C75/$C$74</f>
        <v>0.8448760372568398</v>
      </c>
      <c r="E75" s="233">
        <f>Inputs!E92</f>
        <v>2577476</v>
      </c>
      <c r="F75" s="157">
        <f>E75/E74</f>
        <v>0.8448760372568398</v>
      </c>
      <c r="H75" s="233">
        <f>Inputs!F92</f>
        <v>2577476</v>
      </c>
      <c r="I75" s="157">
        <f>H75/$H$74</f>
        <v>0.8448760372568398</v>
      </c>
      <c r="K75" s="24"/>
    </row>
    <row r="76" spans="1:11" ht="15" customHeight="1" x14ac:dyDescent="0.4">
      <c r="B76" s="35" t="s">
        <v>91</v>
      </c>
      <c r="C76" s="158">
        <f>C74-C75</f>
        <v>473239</v>
      </c>
      <c r="D76" s="205"/>
      <c r="E76" s="159">
        <f>E74-E75</f>
        <v>473239</v>
      </c>
      <c r="F76" s="205"/>
      <c r="H76" s="159">
        <f>H74-H75</f>
        <v>473239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549856</v>
      </c>
      <c r="D77" s="156">
        <f>C77/$C$74</f>
        <v>0.18023840312844694</v>
      </c>
      <c r="E77" s="233">
        <f>Inputs!E93</f>
        <v>549856</v>
      </c>
      <c r="F77" s="157">
        <f>E77/E74</f>
        <v>0.18023840312844694</v>
      </c>
      <c r="H77" s="233">
        <f>Inputs!F93</f>
        <v>549856</v>
      </c>
      <c r="I77" s="157">
        <f>H77/$H$74</f>
        <v>0.18023840312844694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-76617</v>
      </c>
      <c r="D79" s="253">
        <f>C79/C74</f>
        <v>-2.5114440385286728E-2</v>
      </c>
      <c r="E79" s="254">
        <f>E76-E77-E78</f>
        <v>-76617</v>
      </c>
      <c r="F79" s="253">
        <f>E79/E74</f>
        <v>-2.5114440385286728E-2</v>
      </c>
      <c r="G79" s="255"/>
      <c r="H79" s="254">
        <f>H76-H77-H78</f>
        <v>-76617</v>
      </c>
      <c r="I79" s="253">
        <f>H79/H74</f>
        <v>-2.5114440385286728E-2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54645</v>
      </c>
      <c r="D81" s="156">
        <f>C81/$C$74</f>
        <v>1.7912194354438221E-2</v>
      </c>
      <c r="E81" s="177">
        <f>E74*F81</f>
        <v>54645</v>
      </c>
      <c r="F81" s="157">
        <f>I81</f>
        <v>1.7912194354438221E-2</v>
      </c>
      <c r="H81" s="233">
        <f>Inputs!F94</f>
        <v>54645</v>
      </c>
      <c r="I81" s="157">
        <f>H81/$H$74</f>
        <v>1.7912194354438221E-2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-131262</v>
      </c>
      <c r="D83" s="161">
        <f>C83/$C$74</f>
        <v>-4.3026634739724949E-2</v>
      </c>
      <c r="E83" s="162">
        <f>E79-E81-E82-E80</f>
        <v>-131262</v>
      </c>
      <c r="F83" s="161">
        <f>E83/E74</f>
        <v>-4.3026634739724949E-2</v>
      </c>
      <c r="H83" s="162">
        <f>H79-H81-H82-H80</f>
        <v>-131262</v>
      </c>
      <c r="I83" s="161">
        <f>H83/$H$74</f>
        <v>-4.3026634739724949E-2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-98446.5</v>
      </c>
      <c r="D85" s="253">
        <f>C85/$C$74</f>
        <v>-3.226997605479371E-2</v>
      </c>
      <c r="E85" s="259">
        <f>E83*(1-F84)</f>
        <v>-98446.5</v>
      </c>
      <c r="F85" s="253">
        <f>E85/E74</f>
        <v>-3.226997605479371E-2</v>
      </c>
      <c r="G85" s="255"/>
      <c r="H85" s="259">
        <f>H83*(1-I84)</f>
        <v>-98446.5</v>
      </c>
      <c r="I85" s="253">
        <f>H85/$H$74</f>
        <v>-3.226997605479371E-2</v>
      </c>
      <c r="K85" s="24"/>
    </row>
    <row r="86" spans="1:11" ht="15" customHeight="1" x14ac:dyDescent="0.4">
      <c r="B86" s="86" t="s">
        <v>151</v>
      </c>
      <c r="C86" s="164">
        <f>C85*Data!C4/Common_Shares</f>
        <v>-0.75448359096191708</v>
      </c>
      <c r="D86" s="204"/>
      <c r="E86" s="165">
        <f>E85*Data!C4/Common_Shares</f>
        <v>-0.75448359096191708</v>
      </c>
      <c r="F86" s="204"/>
      <c r="H86" s="165">
        <f>H85*Data!C4/Common_Shares</f>
        <v>-0.75448359096191708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-1.0022556491325248E-2</v>
      </c>
      <c r="D87" s="204"/>
      <c r="E87" s="257">
        <f>E86*Exchange_Rate/Dashboard!G3</f>
        <v>-1.0022556491325248E-2</v>
      </c>
      <c r="F87" s="204"/>
      <c r="H87" s="257">
        <f>H86*Exchange_Rate/Dashboard!G3</f>
        <v>-1.0022556491325248E-2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</v>
      </c>
      <c r="D88" s="163">
        <f>C88/C86</f>
        <v>0</v>
      </c>
      <c r="E88" s="167">
        <f>Inputs!E98</f>
        <v>0</v>
      </c>
      <c r="F88" s="163">
        <f>E88/E86</f>
        <v>0</v>
      </c>
      <c r="H88" s="167">
        <f>Inputs!F98</f>
        <v>0</v>
      </c>
      <c r="I88" s="163">
        <f>H88/H86</f>
        <v>0</v>
      </c>
      <c r="K88" s="24"/>
    </row>
    <row r="89" spans="1:11" ht="15" customHeight="1" x14ac:dyDescent="0.4">
      <c r="B89" s="86" t="s">
        <v>205</v>
      </c>
      <c r="C89" s="256">
        <f>C88*Exchange_Rate/Dashboard!G3</f>
        <v>0</v>
      </c>
      <c r="D89" s="204"/>
      <c r="E89" s="256">
        <f>E88*Exchange_Rate/Dashboard!G3</f>
        <v>0</v>
      </c>
      <c r="F89" s="204"/>
      <c r="H89" s="256">
        <f>H88*Exchange_Rate/Dashboard!G3</f>
        <v>0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-11.558593971081145</v>
      </c>
      <c r="H93" s="86" t="s">
        <v>194</v>
      </c>
      <c r="I93" s="142">
        <f>FV(H87,D93,0,-(H86/(C93-D94)))*Exchange_Rate</f>
        <v>-11.558593971081145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0</v>
      </c>
      <c r="H94" s="86" t="s">
        <v>195</v>
      </c>
      <c r="I94" s="142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-749836.00140222907</v>
      </c>
      <c r="D97" s="208"/>
      <c r="E97" s="121">
        <f>PV(C94,D93,0,-F93)</f>
        <v>-5.7466640151806194</v>
      </c>
      <c r="F97" s="208"/>
      <c r="H97" s="121">
        <f>PV(C94,D93,0,-I93)</f>
        <v>-5.7466640151806194</v>
      </c>
      <c r="I97" s="121">
        <f>PV(C93,D93,0,-I93)</f>
        <v>-7.6428627543493892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-749836.00140222907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0</v>
      </c>
      <c r="D103" s="108">
        <f>MIN(F103*(1-C94),E103)</f>
        <v>0</v>
      </c>
      <c r="E103" s="121">
        <f>PV(C94,D93,0,-F94)</f>
        <v>0</v>
      </c>
      <c r="F103" s="108">
        <f>(E103+H103)/2</f>
        <v>0</v>
      </c>
      <c r="H103" s="121">
        <f>PV(C94,D93,0,-I94)</f>
        <v>0</v>
      </c>
      <c r="I103" s="108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0</v>
      </c>
      <c r="D106" s="108">
        <f>(D100+D103)/2</f>
        <v>0</v>
      </c>
      <c r="E106" s="121">
        <f>(E100+E103)/2</f>
        <v>0</v>
      </c>
      <c r="F106" s="108">
        <f>(F100+F103)/2</f>
        <v>0</v>
      </c>
      <c r="H106" s="121">
        <f>(H100+H103)/2</f>
        <v>0</v>
      </c>
      <c r="I106" s="121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