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5F0E926-7CAF-47CE-BF49-CDAC2622C45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B47" i="4"/>
  <c r="C49" i="3"/>
  <c r="H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G56" i="2"/>
  <c r="F56" i="2"/>
  <c r="D27" i="2"/>
  <c r="M56" i="2"/>
  <c r="E56" i="2"/>
  <c r="D37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7" i="2" s="1"/>
  <c r="C59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<sst xmlns="http://schemas.openxmlformats.org/spreadsheetml/2006/main" count="392" uniqueCount="277">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</sst>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268</v>
      </c>
    </row>
    <row r="5" spans="1:5" ht="13.9" x14ac:dyDescent="0.4">
      <c r="B5" s="139" t="s">
        <v>180</v>
      </c>
      <c r="C5" s="188" t="s">
        <v>269</v>
      </c>
    </row>
    <row r="6" spans="1:5" ht="13.9" x14ac:dyDescent="0.4">
      <c r="B6" s="139" t="s">
        <v>154</v>
      </c>
      <c r="C6" s="186">
        <v>45593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66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28698864088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235</v>
      </c>
      <c r="C15" s="173" t="s">
        <v>239</v>
      </c>
    </row>
    <row r="16" spans="1:5" ht="13.9" x14ac:dyDescent="0.4">
      <c r="B16" s="217" t="s">
        <v>92</v>
      </c>
      <c r="C16" s="218">
        <v>0.25</v>
      </c>
      <c r="D16" s="24"/>
      <c r="E16" s="109" t="s">
        <v>267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273</v>
      </c>
      <c r="D19" s="24"/>
    </row>
    <row r="20" spans="2:13" ht="13.9" x14ac:dyDescent="0.4">
      <c r="B20" s="236" t="s">
        <v>212</v>
      </c>
      <c r="C20" s="237" t="s">
        <v>273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234261514</v>
      </c>
      <c r="D25" s="147">
        <v>222938637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183809908</v>
      </c>
      <c r="D26" s="148">
        <v>177260463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37506984</v>
      </c>
      <c r="D27" s="148">
        <v>599182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236</v>
      </c>
      <c r="C29" s="148">
        <v>0</v>
      </c>
      <c r="D29" s="148">
        <v>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2199</v>
      </c>
      <c r="D30" s="148">
        <v>645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-169280</v>
      </c>
      <c r="D31" s="148">
        <v>-50846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35974</v>
      </c>
      <c r="D32" s="148">
        <v>32106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15312</v>
      </c>
      <c r="D33" s="148">
        <v>11600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259</v>
      </c>
      <c r="C34" s="212"/>
      <c r="D34" s="148">
        <v>3160304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v>131280367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66848740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258</v>
      </c>
      <c r="C37" s="148">
        <v>279593282</v>
      </c>
      <c r="D37" s="148">
        <v>734909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264</v>
      </c>
      <c r="C38" s="148"/>
      <c r="D38" s="148">
        <v>18682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6202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10412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199906611</v>
      </c>
      <c r="D41" s="148">
        <v>2824568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39516717</v>
      </c>
      <c r="D42" s="148">
        <v>7297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2868641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v>0.2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232</v>
      </c>
      <c r="C45" s="150">
        <f>IF(C44="","",C44*Exchange_Rate/Dashboard!$G$3)</f>
        <v>4.4847437981463956E-2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47742240</v>
      </c>
      <c r="D48" s="60">
        <v>0.9</v>
      </c>
      <c r="E48" s="111"/>
    </row>
    <row r="49" spans="2:5" ht="13.9" x14ac:dyDescent="0.4">
      <c r="B49" s="1" t="s">
        <v>129</v>
      </c>
      <c r="C49" s="59">
        <v>0</v>
      </c>
      <c r="D49" s="60">
        <v>0.8</v>
      </c>
      <c r="E49" s="111"/>
    </row>
    <row r="50" spans="2:5" ht="13.9" x14ac:dyDescent="0.4">
      <c r="B50" s="3" t="s">
        <v>111</v>
      </c>
      <c r="C50" s="59">
        <v>121633388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7768559</v>
      </c>
      <c r="D51" s="60">
        <v>0.6</v>
      </c>
      <c r="E51" s="111"/>
    </row>
    <row r="52" spans="2:5" ht="13.9" x14ac:dyDescent="0.4">
      <c r="B52" s="3" t="s">
        <v>39</v>
      </c>
      <c r="C52" s="59">
        <v>0</v>
      </c>
      <c r="D52" s="60">
        <v>0.5</v>
      </c>
      <c r="E52" s="111"/>
    </row>
    <row r="53" spans="2:5" ht="13.9" x14ac:dyDescent="0.4">
      <c r="B53" s="1" t="s">
        <v>149</v>
      </c>
      <c r="C53" s="59">
        <v>0</v>
      </c>
      <c r="D53" s="60">
        <f>D50</f>
        <v>0.6</v>
      </c>
      <c r="E53" s="111"/>
    </row>
    <row r="54" spans="2:5" ht="13.9" x14ac:dyDescent="0.4">
      <c r="B54" s="3" t="s">
        <v>241</v>
      </c>
      <c r="C54" s="59">
        <v>44533603</v>
      </c>
      <c r="D54" s="60">
        <v>0.1</v>
      </c>
      <c r="E54" s="111"/>
    </row>
    <row r="55" spans="2:5" ht="13.9" x14ac:dyDescent="0.4">
      <c r="B55" s="3" t="s">
        <v>42</v>
      </c>
      <c r="C55" s="59">
        <v>86201047</v>
      </c>
      <c r="D55" s="60">
        <f>D52</f>
        <v>0.5</v>
      </c>
      <c r="E55" s="111"/>
    </row>
    <row r="56" spans="2:5" ht="13.9" x14ac:dyDescent="0.4">
      <c r="B56" s="1" t="s">
        <v>43</v>
      </c>
      <c r="C56" s="59">
        <v>0</v>
      </c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>
        <v>0</v>
      </c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0</v>
      </c>
      <c r="D58" s="60">
        <f>D48</f>
        <v>0.9</v>
      </c>
      <c r="E58" s="111"/>
    </row>
    <row r="59" spans="2:5" ht="13.9" x14ac:dyDescent="0.4">
      <c r="B59" s="35" t="s">
        <v>46</v>
      </c>
      <c r="C59" s="118">
        <v>11709109</v>
      </c>
      <c r="D59" s="192">
        <f>D70</f>
        <v>0.05</v>
      </c>
      <c r="E59" s="111"/>
    </row>
    <row r="60" spans="2:5" ht="13.9" x14ac:dyDescent="0.4">
      <c r="B60" s="3" t="s">
        <v>56</v>
      </c>
      <c r="C60" s="59">
        <v>0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2881955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821946</v>
      </c>
      <c r="D62" s="60">
        <f>D52</f>
        <v>0.5</v>
      </c>
      <c r="E62" s="111"/>
    </row>
    <row r="63" spans="2:5" ht="13.9" x14ac:dyDescent="0.4">
      <c r="B63" s="1" t="s">
        <v>150</v>
      </c>
      <c r="C63" s="59">
        <v>0</v>
      </c>
      <c r="D63" s="60">
        <f>D62</f>
        <v>0.5</v>
      </c>
      <c r="E63" s="111"/>
    </row>
    <row r="64" spans="2:5" ht="13.9" x14ac:dyDescent="0.4">
      <c r="B64" s="3" t="s">
        <v>240</v>
      </c>
      <c r="C64" s="59">
        <v>7301425</v>
      </c>
      <c r="D64" s="60">
        <v>0.4</v>
      </c>
      <c r="E64" s="111"/>
    </row>
    <row r="65" spans="2:5" ht="13.9" x14ac:dyDescent="0.4">
      <c r="B65" s="3" t="s">
        <v>65</v>
      </c>
      <c r="C65" s="59">
        <v>21620835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805212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6765810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60750263</v>
      </c>
      <c r="D68" s="60">
        <f>D65</f>
        <v>0.1</v>
      </c>
      <c r="E68" s="111"/>
    </row>
    <row r="69" spans="2:5" ht="13.9" x14ac:dyDescent="0.4">
      <c r="B69" s="3" t="s">
        <v>68</v>
      </c>
      <c r="C69" s="59">
        <v>0</v>
      </c>
      <c r="D69" s="60">
        <f>D70</f>
        <v>0.05</v>
      </c>
      <c r="E69" s="111"/>
    </row>
    <row r="70" spans="2:5" ht="13.9" x14ac:dyDescent="0.4">
      <c r="B70" s="3" t="s">
        <v>69</v>
      </c>
      <c r="C70" s="59">
        <v>17178235</v>
      </c>
      <c r="D70" s="60">
        <v>0.05</v>
      </c>
      <c r="E70" s="111"/>
    </row>
    <row r="71" spans="2:5" ht="13.9" x14ac:dyDescent="0.4">
      <c r="B71" s="3" t="s">
        <v>70</v>
      </c>
      <c r="C71" s="59">
        <v>4163174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37623092</v>
      </c>
      <c r="D72" s="243">
        <v>0</v>
      </c>
      <c r="E72" s="244"/>
    </row>
    <row r="73" spans="2:5" ht="13.9" x14ac:dyDescent="0.4">
      <c r="B73" s="3" t="s">
        <v>34</v>
      </c>
      <c r="C73" s="59">
        <v>12970041</v>
      </c>
    </row>
    <row r="74" spans="2:5" ht="13.9" x14ac:dyDescent="0.4">
      <c r="B74" s="3" t="s">
        <v>35</v>
      </c>
      <c r="C74" s="59">
        <v>13416</v>
      </c>
    </row>
    <row r="75" spans="2:5" ht="13.9" x14ac:dyDescent="0.4">
      <c r="B75" s="3" t="s">
        <v>36</v>
      </c>
      <c r="C75" s="59">
        <v>0</v>
      </c>
    </row>
    <row r="76" spans="2:5" ht="13.9" x14ac:dyDescent="0.4">
      <c r="B76" s="85" t="s">
        <v>38</v>
      </c>
      <c r="C76" s="118">
        <v>9668</v>
      </c>
    </row>
    <row r="77" spans="2:5" ht="14.25" thickBot="1" x14ac:dyDescent="0.45">
      <c r="B77" s="80" t="s">
        <v>15</v>
      </c>
      <c r="C77" s="82">
        <v>255569971</v>
      </c>
    </row>
    <row r="78" spans="2:5" ht="14.25" thickTop="1" x14ac:dyDescent="0.4">
      <c r="B78" s="3" t="s">
        <v>57</v>
      </c>
      <c r="C78" s="59">
        <v>6315552</v>
      </c>
    </row>
    <row r="79" spans="2:5" ht="13.9" x14ac:dyDescent="0.4">
      <c r="B79" s="3" t="s">
        <v>59</v>
      </c>
      <c r="C79" s="59">
        <v>1694399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262</v>
      </c>
      <c r="C82" s="212">
        <v>24023311</v>
      </c>
    </row>
    <row r="83" spans="2:8" ht="14.25" hidden="1" thickTop="1" x14ac:dyDescent="0.4">
      <c r="B83" s="73" t="s">
        <v>263</v>
      </c>
      <c r="C83" s="212">
        <v>160389894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234261514</v>
      </c>
      <c r="D91" s="204"/>
      <c r="E91" s="246">
        <f>C91</f>
        <v>234261514</v>
      </c>
      <c r="F91" s="246">
        <f>C91</f>
        <v>234261514</v>
      </c>
    </row>
    <row r="92" spans="2:8" ht="13.9" x14ac:dyDescent="0.4">
      <c r="B92" s="103" t="s">
        <v>101</v>
      </c>
      <c r="C92" s="77">
        <f>C26</f>
        <v>183809908</v>
      </c>
      <c r="D92" s="156">
        <f>C92/C91</f>
        <v>0.78463553343209413</v>
      </c>
      <c r="E92" s="247">
        <f>E91*D92</f>
        <v>183809908</v>
      </c>
      <c r="F92" s="247">
        <f>F91*D92</f>
        <v>183809908</v>
      </c>
    </row>
    <row r="93" spans="2:8" ht="13.9" x14ac:dyDescent="0.4">
      <c r="B93" s="103" t="s">
        <v>229</v>
      </c>
      <c r="C93" s="77">
        <f>C27+C28</f>
        <v>37506984</v>
      </c>
      <c r="D93" s="156">
        <f>C93/C91</f>
        <v>0.16010732347610457</v>
      </c>
      <c r="E93" s="247">
        <f>E91*D93</f>
        <v>37506984</v>
      </c>
      <c r="F93" s="247">
        <f>F91*D93</f>
        <v>37506984</v>
      </c>
    </row>
    <row r="94" spans="2:8" ht="13.9" x14ac:dyDescent="0.4">
      <c r="B94" s="103" t="s">
        <v>236</v>
      </c>
      <c r="C94" s="77">
        <f>C29</f>
        <v>0</v>
      </c>
      <c r="D94" s="156">
        <f>C94/C91</f>
        <v>0</v>
      </c>
      <c r="E94" s="248"/>
      <c r="F94" s="247">
        <f>F91*D94</f>
        <v>0</v>
      </c>
    </row>
    <row r="95" spans="2:8" ht="13.9" x14ac:dyDescent="0.4">
      <c r="B95" s="28" t="s">
        <v>228</v>
      </c>
      <c r="C95" s="77">
        <f>ABS(MAX(C33,0)-C32)</f>
        <v>20662</v>
      </c>
      <c r="D95" s="156">
        <f>C95/C91</f>
        <v>8.8200573996119572E-5</v>
      </c>
      <c r="E95" s="247">
        <f>E91*D95</f>
        <v>20662</v>
      </c>
      <c r="F95" s="247">
        <f>F91*D95</f>
        <v>20662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2932</v>
      </c>
      <c r="D97" s="156">
        <f>C97/C91</f>
        <v>1.2515926965280349E-5</v>
      </c>
      <c r="E97" s="248"/>
      <c r="F97" s="247">
        <f>F91*D97</f>
        <v>2932</v>
      </c>
    </row>
    <row r="98" spans="2:7" ht="13.9" x14ac:dyDescent="0.4">
      <c r="B98" s="85" t="s">
        <v>192</v>
      </c>
      <c r="C98" s="232">
        <f>C44</f>
        <v>0.2</v>
      </c>
      <c r="D98" s="261"/>
      <c r="E98" s="249">
        <f>F98</f>
        <v>0.2</v>
      </c>
      <c r="F98" s="249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1766.HK</v>
      </c>
      <c r="D3" s="291"/>
      <c r="E3" s="86"/>
      <c r="F3" s="3" t="s">
        <v>1</v>
      </c>
      <c r="G3" s="130">
        <v>4.76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中国中车</v>
      </c>
      <c r="D4" s="293"/>
      <c r="E4" s="86"/>
      <c r="F4" s="3" t="s">
        <v>2</v>
      </c>
      <c r="G4" s="296">
        <f>Inputs!C10</f>
        <v>28698864088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45593</v>
      </c>
      <c r="D5" s="295"/>
      <c r="E5" s="34"/>
      <c r="F5" s="35" t="s">
        <v>95</v>
      </c>
      <c r="G5" s="288">
        <f>G3*G4/1000000</f>
        <v>136606.59305887998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N</v>
      </c>
      <c r="D7" s="184" t="str">
        <f>Inputs!C9</f>
        <v>C0004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233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234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257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248</v>
      </c>
      <c r="C20" s="271">
        <f>C21*C22*C23</f>
        <v>8.0688936673279421E-2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253</v>
      </c>
      <c r="C21" s="283">
        <f>Data!C13</f>
        <v>5.5244627164835962E-2</v>
      </c>
      <c r="F21" s="86"/>
      <c r="G21" s="29"/>
    </row>
    <row r="22" spans="1:8" ht="15.75" customHeight="1" x14ac:dyDescent="0.4">
      <c r="B22" s="273" t="s">
        <v>260</v>
      </c>
      <c r="C22" s="274">
        <f>Data!C48</f>
        <v>0.48855383999011653</v>
      </c>
      <c r="F22" s="140" t="s">
        <v>170</v>
      </c>
    </row>
    <row r="23" spans="1:8" ht="15.75" customHeight="1" thickBot="1" x14ac:dyDescent="0.45">
      <c r="B23" s="275" t="s">
        <v>266</v>
      </c>
      <c r="C23" s="282">
        <f>1/Data!C53</f>
        <v>2.9895891882065837</v>
      </c>
      <c r="F23" s="138" t="s">
        <v>174</v>
      </c>
      <c r="G23" s="174">
        <f>G3/(Data!C34*Data!C4/Common_Shares*Exchange_Rate)</f>
        <v>0.64022098991060261</v>
      </c>
    </row>
    <row r="24" spans="1:8" ht="15.75" customHeight="1" x14ac:dyDescent="0.4">
      <c r="B24" s="280" t="s">
        <v>254</v>
      </c>
      <c r="C24" s="281">
        <f>Fin_Analysis!I81</f>
        <v>0</v>
      </c>
      <c r="F24" s="138" t="s">
        <v>238</v>
      </c>
      <c r="G24" s="263">
        <f>G3/(Fin_Analysis!H86*G7)</f>
        <v>13.206834459723975</v>
      </c>
    </row>
    <row r="25" spans="1:8" ht="15.75" customHeight="1" x14ac:dyDescent="0.4">
      <c r="B25" s="135" t="s">
        <v>255</v>
      </c>
      <c r="C25" s="168">
        <f>Fin_Analysis!I80</f>
        <v>0</v>
      </c>
      <c r="F25" s="138" t="s">
        <v>161</v>
      </c>
      <c r="G25" s="168">
        <f>Fin_Analysis!I88</f>
        <v>0.59229268936393198</v>
      </c>
    </row>
    <row r="26" spans="1:8" ht="15.75" customHeight="1" x14ac:dyDescent="0.4">
      <c r="B26" s="136" t="s">
        <v>256</v>
      </c>
      <c r="C26" s="168">
        <f>Fin_Analysis!I80+Fin_Analysis!I82</f>
        <v>8.8200573996119572E-5</v>
      </c>
      <c r="F26" s="139" t="s">
        <v>178</v>
      </c>
      <c r="G26" s="175">
        <f>Fin_Analysis!H88*Exchange_Rate/G3</f>
        <v>4.4847437981463956E-2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237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1.6957149252264221</v>
      </c>
      <c r="D29" s="127">
        <f>G29*(1+G20)</f>
        <v>3.0512093873300947</v>
      </c>
      <c r="E29" s="86"/>
      <c r="F29" s="129">
        <f>IF(Fin_Analysis!C108="Profit",Fin_Analysis!F100,IF(Fin_Analysis!C108="Dividend",Fin_Analysis!F103,Fin_Analysis!F106))</f>
        <v>1.9949587355604967</v>
      </c>
      <c r="G29" s="287">
        <f>IF(Fin_Analysis!C108="Profit",Fin_Analysis!I100,IF(Fin_Analysis!C108="Dividend",Fin_Analysis!I103,Fin_Analysis!I106))</f>
        <v>2.6532255542000827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Strongly 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12941690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234261514</v>
      </c>
      <c r="D6" s="197">
        <f>IF(Inputs!D25="","",Inputs!D25)</f>
        <v>222938637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5.078920887095939E-2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183809908</v>
      </c>
      <c r="D8" s="196">
        <f>IF(Inputs!D26="","",Inputs!D26)</f>
        <v>177260463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50451606</v>
      </c>
      <c r="D9" s="149">
        <f t="shared" si="2"/>
        <v>45678174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37506984</v>
      </c>
      <c r="D10" s="196">
        <f>IF(Inputs!D27="","",Inputs!D27)</f>
        <v>599182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2932</v>
      </c>
      <c r="D12" s="196">
        <f>IF(Inputs!D30="","",MAX(Inputs!D30,0)/(1-Fin_Analysis!$I$84))</f>
        <v>860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5.5244627164835962E-2</v>
      </c>
      <c r="D13" s="224">
        <f t="shared" si="3"/>
        <v>0.20219972906715133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12941690</v>
      </c>
      <c r="D14" s="225">
        <f t="shared" ref="D14:M14" si="4">IF(D6="","",D9-D10-MAX(D11,0)-MAX(D12,0))</f>
        <v>45078132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-0.71290536173947938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-169280</v>
      </c>
      <c r="D16" s="196">
        <f>IF(Inputs!D31="","",Inputs!D31)</f>
        <v>-50846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236</v>
      </c>
      <c r="C17" s="196">
        <f>IF(Inputs!C29="","",Inputs!C29)</f>
        <v>0</v>
      </c>
      <c r="D17" s="196">
        <f>IF(Inputs!D29="","",Inputs!D29)</f>
        <v>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1.5356342314085786E-4</v>
      </c>
      <c r="D18" s="150">
        <f t="shared" si="6"/>
        <v>1.4401272220929565E-4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35974</v>
      </c>
      <c r="D19" s="196">
        <f>IF(Inputs!D32="","",Inputs!D32)</f>
        <v>32106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6.5362849144738304E-5</v>
      </c>
      <c r="D20" s="150">
        <f t="shared" si="7"/>
        <v>5.2032254956326836E-5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15312</v>
      </c>
      <c r="D21" s="196">
        <f>IF(Inputs!D33="","",Inputs!D33)</f>
        <v>11600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12921028</v>
      </c>
      <c r="D22" s="158">
        <f t="shared" ref="D22:M22" si="8">IF(D6="","",D14-MAX(D16,0)-MAX(D17,0)-ABS(MAX(D21,0)-MAX(D19,0)))</f>
        <v>45057626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4.1367319943129879E-2</v>
      </c>
      <c r="D23" s="151">
        <f t="shared" si="9"/>
        <v>0.15158081144992377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-0.71323327154431082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479499893</v>
      </c>
      <c r="D27" s="65">
        <f>IF(D34="","",D34+D30)</f>
        <v>3559477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121633388</v>
      </c>
      <c r="D28" s="196">
        <f>IF(Inputs!D35="","",Inputs!D35)</f>
        <v>131280367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86201047</v>
      </c>
      <c r="D29" s="196">
        <f>IF(Inputs!D36="","",Inputs!D36)</f>
        <v>66848740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258</v>
      </c>
      <c r="C30" s="65">
        <f>Inputs!C37</f>
        <v>279593282</v>
      </c>
      <c r="D30" s="196">
        <f>IF(Inputs!D37="","",Inputs!D37)</f>
        <v>734909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12993125</v>
      </c>
      <c r="D31" s="196">
        <f>IF(Inputs!D39="","",Inputs!D39)</f>
        <v>6202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8009951</v>
      </c>
      <c r="D32" s="196">
        <f>IF(Inputs!D40="","",Inputs!D40)</f>
        <v>10412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21003076</v>
      </c>
      <c r="D33" s="77">
        <f t="shared" ref="D33" si="22">IF(OR(D31="",D32=""),"",D31+D32)</f>
        <v>16614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199906611</v>
      </c>
      <c r="D34" s="196">
        <f>IF(Inputs!D41="","",Inputs!D41)</f>
        <v>2824568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39516717</v>
      </c>
      <c r="D35" s="196">
        <f>IF(Inputs!D42="","",Inputs!D42)</f>
        <v>7297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2868641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397859146</v>
      </c>
      <c r="D37" s="65">
        <f t="shared" ref="D37:M37" si="32">IF(D36="","",D27-D36)</f>
        <v>690836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3.2528320965128699E-2</v>
      </c>
      <c r="D38" s="153">
        <f>IF(D6="","",D14/MAX(D37,0))</f>
        <v>65.251567665842543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243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0.78463553343209413</v>
      </c>
      <c r="D40" s="154">
        <f t="shared" si="34"/>
        <v>0.79510875900797762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0.16010732347610457</v>
      </c>
      <c r="D41" s="151">
        <f t="shared" si="35"/>
        <v>2.6876543611415371E-3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1.2515926965280349E-5</v>
      </c>
      <c r="D44" s="151">
        <f t="shared" si="38"/>
        <v>3.8575637295207831E-6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8.8200573996119572E-5</v>
      </c>
      <c r="D45" s="151">
        <f t="shared" si="39"/>
        <v>9.1980467252968803E-5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5.5156426590839844E-2</v>
      </c>
      <c r="D46" s="151">
        <f t="shared" si="40"/>
        <v>0.20210774859989836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244</v>
      </c>
      <c r="C47" s="276" t="s">
        <v>261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250</v>
      </c>
      <c r="C48" s="267">
        <f t="shared" ref="C48:M48" si="41">IF(C6="","",C6/C27)</f>
        <v>0.48855383999011653</v>
      </c>
      <c r="D48" s="267">
        <f t="shared" si="41"/>
        <v>62.632413975423916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251</v>
      </c>
      <c r="C49" s="151">
        <f t="shared" ref="C49:M49" si="42">IF(C28="","",C28/C6)</f>
        <v>0.51922053231500931</v>
      </c>
      <c r="D49" s="151">
        <f t="shared" si="42"/>
        <v>0.58886323504346172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252</v>
      </c>
      <c r="C50" s="151">
        <f t="shared" ref="C50:M50" si="43">IF(C29="","",C29/C6)</f>
        <v>0.36796930715644566</v>
      </c>
      <c r="D50" s="151">
        <f t="shared" si="43"/>
        <v>0.29985264510251758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242</v>
      </c>
      <c r="C51" s="151">
        <f t="shared" ref="C51:M51" si="44">IF(D6="","",C16/(C6-D6))</f>
        <v>-1.4950263965598143E-2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246</v>
      </c>
      <c r="C53" s="154">
        <f t="shared" ref="C53:M53" si="45">IF(C34="","",(C34-C35)/C27)</f>
        <v>0.33449411843768651</v>
      </c>
      <c r="D53" s="154">
        <f t="shared" si="45"/>
        <v>0.79148453550900877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0.61519693591548208</v>
      </c>
      <c r="D54" s="155">
        <f t="shared" si="46"/>
        <v>2712.0275671120739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265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247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248</v>
      </c>
      <c r="C58" s="269">
        <f t="shared" ref="C58:M58" si="49">IF(C14="","",C14/(C34-C35))</f>
        <v>8.0688936673279421E-2</v>
      </c>
      <c r="D58" s="269">
        <f t="shared" si="49"/>
        <v>16.000637496357289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249</v>
      </c>
      <c r="C59" s="269">
        <f t="shared" ref="C59:M59" si="50">IF(C22="","",C22/(C34-C35))</f>
        <v>8.0560113095404881E-2</v>
      </c>
      <c r="D59" s="269">
        <f t="shared" si="50"/>
        <v>15.993358821355844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199906611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160389894</v>
      </c>
      <c r="K3" s="24"/>
    </row>
    <row r="4" spans="1:11" ht="15" customHeight="1" x14ac:dyDescent="0.4">
      <c r="B4" s="3" t="s">
        <v>22</v>
      </c>
      <c r="C4" s="86"/>
      <c r="D4" s="196">
        <f>Inputs!C42</f>
        <v>39516717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1.250490989804119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-131620258</v>
      </c>
      <c r="E6" s="56">
        <f>1-D6/D3</f>
        <v>1.6584087306647404</v>
      </c>
      <c r="F6" s="86"/>
      <c r="G6" s="86"/>
      <c r="H6" s="1" t="s">
        <v>25</v>
      </c>
      <c r="I6" s="63">
        <f>(C24+C25)/I28</f>
        <v>0.86738590270450822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0.69313380717956097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47742240</v>
      </c>
      <c r="D11" s="195">
        <f>Inputs!D48</f>
        <v>0.9</v>
      </c>
      <c r="E11" s="87">
        <f t="shared" ref="E11:E22" si="0">C11*D11</f>
        <v>42968016</v>
      </c>
      <c r="F11" s="111"/>
      <c r="G11" s="86"/>
      <c r="H11" s="3" t="s">
        <v>34</v>
      </c>
      <c r="I11" s="40">
        <f>Inputs!C73</f>
        <v>12970041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13416</v>
      </c>
      <c r="J12" s="86"/>
      <c r="K12" s="24"/>
    </row>
    <row r="13" spans="1:11" ht="13.9" x14ac:dyDescent="0.4">
      <c r="B13" s="3" t="s">
        <v>111</v>
      </c>
      <c r="C13" s="40">
        <f>Inputs!C50</f>
        <v>121633388</v>
      </c>
      <c r="D13" s="195">
        <f>Inputs!D50</f>
        <v>0.6</v>
      </c>
      <c r="E13" s="87">
        <f t="shared" si="0"/>
        <v>72980032.799999997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7768559</v>
      </c>
      <c r="D14" s="195">
        <f>Inputs!D51</f>
        <v>0.6</v>
      </c>
      <c r="E14" s="87">
        <f t="shared" si="0"/>
        <v>4661135.3999999994</v>
      </c>
      <c r="F14" s="111"/>
      <c r="G14" s="86"/>
      <c r="H14" s="85" t="s">
        <v>38</v>
      </c>
      <c r="I14" s="201">
        <f>Inputs!C76</f>
        <v>9668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12993125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44533603</v>
      </c>
      <c r="D17" s="195">
        <f>Inputs!D54</f>
        <v>0.1</v>
      </c>
      <c r="E17" s="87">
        <f t="shared" si="0"/>
        <v>4453360.3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86201047</v>
      </c>
      <c r="D18" s="195">
        <f>Inputs!D55</f>
        <v>0.5</v>
      </c>
      <c r="E18" s="87">
        <f t="shared" si="0"/>
        <v>43100523.5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11709109</v>
      </c>
      <c r="D22" s="195">
        <f>Inputs!D59</f>
        <v>0.05</v>
      </c>
      <c r="E22" s="87">
        <f t="shared" si="0"/>
        <v>585455.45000000007</v>
      </c>
      <c r="F22" s="111"/>
      <c r="G22" s="86"/>
      <c r="H22" s="3" t="s">
        <v>40</v>
      </c>
      <c r="I22" s="52">
        <f>I28-SUM(I11:I14)</f>
        <v>242576846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177144187</v>
      </c>
      <c r="D24" s="62">
        <f>IF(E24=0,0,E24/C24)</f>
        <v>0.68085318656265026</v>
      </c>
      <c r="E24" s="87">
        <f>SUM(E11:E14)</f>
        <v>120609184.2</v>
      </c>
      <c r="F24" s="112">
        <f>E24/$E$28</f>
        <v>0.71472734536688487</v>
      </c>
      <c r="G24" s="86"/>
    </row>
    <row r="25" spans="2:10" ht="15" customHeight="1" x14ac:dyDescent="0.4">
      <c r="B25" s="23" t="s">
        <v>50</v>
      </c>
      <c r="C25" s="61">
        <f>SUM(C15:C17)</f>
        <v>44533603</v>
      </c>
      <c r="D25" s="62">
        <f>IF(E25=0,0,E25/C25)</f>
        <v>9.9999999999999992E-2</v>
      </c>
      <c r="E25" s="87">
        <f>SUM(E15:E17)</f>
        <v>4453360.3</v>
      </c>
      <c r="F25" s="112">
        <f>E25/$E$28</f>
        <v>2.6390514174303433E-2</v>
      </c>
      <c r="G25" s="86"/>
      <c r="H25" s="23" t="s">
        <v>51</v>
      </c>
      <c r="I25" s="63">
        <f>E28/I28</f>
        <v>0.66028306373286705</v>
      </c>
    </row>
    <row r="26" spans="2:10" ht="15" customHeight="1" x14ac:dyDescent="0.4">
      <c r="B26" s="23" t="s">
        <v>52</v>
      </c>
      <c r="C26" s="61">
        <f>C18+C19+C20</f>
        <v>86201047</v>
      </c>
      <c r="D26" s="62">
        <f>IF(E26=0,0,E26/C26)</f>
        <v>0.5</v>
      </c>
      <c r="E26" s="87">
        <f>E18+E19+E20</f>
        <v>43100523.5</v>
      </c>
      <c r="F26" s="112">
        <f>E26/$E$28</f>
        <v>0.25541274447222434</v>
      </c>
      <c r="G26" s="86"/>
      <c r="H26" s="23" t="s">
        <v>53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11709109</v>
      </c>
      <c r="D27" s="62">
        <f>IF(E27=0,0,E27/C27)</f>
        <v>0.05</v>
      </c>
      <c r="E27" s="87">
        <f>E21+E22</f>
        <v>585455.45000000007</v>
      </c>
      <c r="F27" s="112">
        <f>E27/$E$28</f>
        <v>3.4693959865875206E-3</v>
      </c>
      <c r="G27" s="86"/>
      <c r="H27" s="23" t="s">
        <v>55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1"/>
      <c r="G28" s="86"/>
      <c r="H28" s="78" t="s">
        <v>15</v>
      </c>
      <c r="I28" s="202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6315552</v>
      </c>
      <c r="J30" s="86"/>
    </row>
    <row r="31" spans="2:10" ht="15" customHeight="1" x14ac:dyDescent="0.4">
      <c r="B31" s="3" t="s">
        <v>58</v>
      </c>
      <c r="C31" s="40">
        <f>Inputs!C61</f>
        <v>2881955</v>
      </c>
      <c r="D31" s="195">
        <f>Inputs!D61</f>
        <v>0.6</v>
      </c>
      <c r="E31" s="87">
        <f t="shared" ref="E31:E42" si="1">C31*D31</f>
        <v>1729173</v>
      </c>
      <c r="F31" s="111"/>
      <c r="G31" s="86"/>
      <c r="H31" s="3" t="s">
        <v>59</v>
      </c>
      <c r="I31" s="40">
        <f>Inputs!C79</f>
        <v>1694399</v>
      </c>
      <c r="J31" s="86"/>
    </row>
    <row r="32" spans="2:10" ht="15" customHeight="1" x14ac:dyDescent="0.4">
      <c r="B32" s="3" t="s">
        <v>60</v>
      </c>
      <c r="C32" s="40">
        <f>Inputs!C62</f>
        <v>821946</v>
      </c>
      <c r="D32" s="195">
        <f>Inputs!D62</f>
        <v>0.5</v>
      </c>
      <c r="E32" s="87">
        <f t="shared" si="1"/>
        <v>410973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7301425</v>
      </c>
      <c r="D34" s="195">
        <f>Inputs!D64</f>
        <v>0.4</v>
      </c>
      <c r="E34" s="87">
        <f t="shared" si="1"/>
        <v>2920570</v>
      </c>
      <c r="F34" s="111"/>
      <c r="G34" s="86"/>
      <c r="H34" s="1" t="s">
        <v>73</v>
      </c>
      <c r="I34" s="83">
        <f>SUM(I30:I33)</f>
        <v>8009951</v>
      </c>
      <c r="J34" s="86"/>
    </row>
    <row r="35" spans="2:10" ht="13.9" x14ac:dyDescent="0.4">
      <c r="B35" s="3" t="s">
        <v>65</v>
      </c>
      <c r="C35" s="40">
        <f>Inputs!C65</f>
        <v>21620835</v>
      </c>
      <c r="D35" s="195">
        <f>Inputs!D65</f>
        <v>0.1</v>
      </c>
      <c r="E35" s="87">
        <f t="shared" si="1"/>
        <v>2162083.5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805212</v>
      </c>
      <c r="D36" s="195">
        <f>Inputs!D66</f>
        <v>0.2</v>
      </c>
      <c r="E36" s="87">
        <f t="shared" si="1"/>
        <v>161042.40000000002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6765810</v>
      </c>
      <c r="D37" s="195">
        <f>Inputs!D67</f>
        <v>0.1</v>
      </c>
      <c r="E37" s="87">
        <f t="shared" si="1"/>
        <v>676581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60750263</v>
      </c>
      <c r="D38" s="195">
        <f>Inputs!D68</f>
        <v>0.1</v>
      </c>
      <c r="E38" s="87">
        <f t="shared" si="1"/>
        <v>6075026.3000000007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17178235</v>
      </c>
      <c r="D40" s="195">
        <f>Inputs!D70</f>
        <v>0.05</v>
      </c>
      <c r="E40" s="87">
        <f t="shared" si="1"/>
        <v>858911.75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4163174</v>
      </c>
      <c r="D41" s="195">
        <f>Inputs!D71</f>
        <v>0.9</v>
      </c>
      <c r="E41" s="87">
        <f t="shared" si="1"/>
        <v>3746856.6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37623092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16013360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2881955</v>
      </c>
      <c r="D44" s="62">
        <f>IF(E44=0,0,E44/C44)</f>
        <v>0.6</v>
      </c>
      <c r="E44" s="87">
        <f>SUM(E30:E31)</f>
        <v>1729173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29744206</v>
      </c>
      <c r="D45" s="62">
        <f>IF(E45=0,0,E45/C45)</f>
        <v>0.18469568493440369</v>
      </c>
      <c r="E45" s="87">
        <f>SUM(E32:E35)</f>
        <v>5493626.5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68321285</v>
      </c>
      <c r="D46" s="62">
        <f>IF(E46=0,0,E46/C46)</f>
        <v>0.10117856682584353</v>
      </c>
      <c r="E46" s="87">
        <f>E36+E37+E38+E39</f>
        <v>6912649.7000000011</v>
      </c>
      <c r="F46" s="86"/>
      <c r="G46" s="86"/>
      <c r="H46" s="23" t="s">
        <v>76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58964501</v>
      </c>
      <c r="D47" s="62">
        <f>IF(E47=0,0,E47/C47)</f>
        <v>7.8110867927127875E-2</v>
      </c>
      <c r="E47" s="87">
        <f>E40+E41+E42</f>
        <v>4605768.3499999996</v>
      </c>
      <c r="F47" s="86"/>
      <c r="G47" s="86"/>
      <c r="H47" s="23" t="s">
        <v>78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79</v>
      </c>
      <c r="C48" s="279">
        <f>SUM(C30:C42)</f>
        <v>159911947</v>
      </c>
      <c r="D48" s="81">
        <f>E48/C48</f>
        <v>0.11719710691784649</v>
      </c>
      <c r="E48" s="76">
        <f>SUM(E30:E42)</f>
        <v>18741217.550000001</v>
      </c>
      <c r="F48" s="86"/>
      <c r="G48" s="86"/>
      <c r="H48" s="80" t="s">
        <v>80</v>
      </c>
      <c r="I48" s="277">
        <f>I49-I28</f>
        <v>24023311</v>
      </c>
      <c r="J48" s="8"/>
    </row>
    <row r="49" spans="2:11" ht="15" customHeight="1" thickTop="1" x14ac:dyDescent="0.4">
      <c r="B49" s="3" t="s">
        <v>13</v>
      </c>
      <c r="C49" s="61">
        <f>Inputs!C41+Inputs!C37</f>
        <v>479499893</v>
      </c>
      <c r="D49" s="56">
        <f>E49/C49</f>
        <v>0.39101101738931981</v>
      </c>
      <c r="E49" s="87">
        <f>E28+E48</f>
        <v>187489741</v>
      </c>
      <c r="F49" s="86"/>
      <c r="G49" s="86"/>
      <c r="H49" s="3" t="s">
        <v>81</v>
      </c>
      <c r="I49" s="40">
        <f>Inputs!C37</f>
        <v>279593282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39516717</v>
      </c>
      <c r="D53" s="29">
        <f>IF(E53=0, 0,E53/C53)</f>
        <v>1</v>
      </c>
      <c r="E53" s="87">
        <f>IF(C53=0,0,MAX(C53,C53*Dashboard!G23))</f>
        <v>39516717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21003076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47742240</v>
      </c>
      <c r="D62" s="106">
        <f t="shared" si="2"/>
        <v>0.9</v>
      </c>
      <c r="E62" s="116">
        <f>E11+E30</f>
        <v>42968016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21003076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258590206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234261514</v>
      </c>
      <c r="D74" s="204"/>
      <c r="E74" s="233">
        <f>Inputs!E91</f>
        <v>234261514</v>
      </c>
      <c r="F74" s="204"/>
      <c r="H74" s="233">
        <f>Inputs!F91</f>
        <v>234261514</v>
      </c>
      <c r="I74" s="204"/>
      <c r="K74" s="24"/>
    </row>
    <row r="75" spans="1:11" ht="15" customHeight="1" x14ac:dyDescent="0.4">
      <c r="B75" s="103" t="s">
        <v>101</v>
      </c>
      <c r="C75" s="77">
        <f>Data!C8</f>
        <v>183809908</v>
      </c>
      <c r="D75" s="156">
        <f>C75/$C$74</f>
        <v>0.78463553343209413</v>
      </c>
      <c r="E75" s="233">
        <f>Inputs!E92</f>
        <v>183809908</v>
      </c>
      <c r="F75" s="157">
        <f>E75/E74</f>
        <v>0.78463553343209413</v>
      </c>
      <c r="H75" s="233">
        <f>Inputs!F92</f>
        <v>183809908</v>
      </c>
      <c r="I75" s="157">
        <f>H75/$H$74</f>
        <v>0.78463553343209413</v>
      </c>
      <c r="K75" s="24"/>
    </row>
    <row r="76" spans="1:11" ht="15" customHeight="1" x14ac:dyDescent="0.4">
      <c r="B76" s="35" t="s">
        <v>91</v>
      </c>
      <c r="C76" s="158">
        <f>C74-C75</f>
        <v>50451606</v>
      </c>
      <c r="D76" s="205"/>
      <c r="E76" s="159">
        <f>E74-E75</f>
        <v>50451606</v>
      </c>
      <c r="F76" s="205"/>
      <c r="H76" s="159">
        <f>H74-H75</f>
        <v>50451606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37506984</v>
      </c>
      <c r="D77" s="156">
        <f>C77/$C$74</f>
        <v>0.16010732347610457</v>
      </c>
      <c r="E77" s="233">
        <f>Inputs!E93</f>
        <v>37506984</v>
      </c>
      <c r="F77" s="157">
        <f>E77/E74</f>
        <v>0.16010732347610457</v>
      </c>
      <c r="H77" s="233">
        <f>Inputs!F93</f>
        <v>37506984</v>
      </c>
      <c r="I77" s="157">
        <f>H77/$H$74</f>
        <v>0.16010732347610457</v>
      </c>
      <c r="K77" s="24"/>
    </row>
    <row r="78" spans="1:11" ht="15" customHeight="1" x14ac:dyDescent="0.4">
      <c r="B78" s="73" t="s">
        <v>160</v>
      </c>
      <c r="C78" s="77">
        <f>MAX(Data!C12,0)</f>
        <v>2932</v>
      </c>
      <c r="D78" s="156">
        <f>C78/$C$74</f>
        <v>1.2515926965280349E-5</v>
      </c>
      <c r="E78" s="177">
        <f>E74*F78</f>
        <v>2932</v>
      </c>
      <c r="F78" s="157">
        <f>I78</f>
        <v>1.2515926965280349E-5</v>
      </c>
      <c r="H78" s="233">
        <f>Inputs!F97</f>
        <v>2932</v>
      </c>
      <c r="I78" s="157">
        <f>H78/$H$74</f>
        <v>1.2515926965280349E-5</v>
      </c>
      <c r="K78" s="24"/>
    </row>
    <row r="79" spans="1:11" ht="15" customHeight="1" x14ac:dyDescent="0.4">
      <c r="B79" s="251" t="s">
        <v>216</v>
      </c>
      <c r="C79" s="252">
        <f>C76-C77-C78</f>
        <v>12941690</v>
      </c>
      <c r="D79" s="253">
        <f>C79/C74</f>
        <v>5.5244627164835962E-2</v>
      </c>
      <c r="E79" s="254">
        <f>E76-E77-E78</f>
        <v>12941690</v>
      </c>
      <c r="F79" s="253">
        <f>E79/E74</f>
        <v>5.5244627164835962E-2</v>
      </c>
      <c r="G79" s="255"/>
      <c r="H79" s="254">
        <f>H76-H77-H78</f>
        <v>12941690</v>
      </c>
      <c r="I79" s="253">
        <f>H79/H74</f>
        <v>5.5244627164835962E-2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236</v>
      </c>
      <c r="C81" s="77">
        <f>MAX(Data!C17,0)</f>
        <v>0</v>
      </c>
      <c r="D81" s="156">
        <f>C81/$C$74</f>
        <v>0</v>
      </c>
      <c r="E81" s="177">
        <f>E74*F81</f>
        <v>0</v>
      </c>
      <c r="F81" s="157">
        <f>I81</f>
        <v>0</v>
      </c>
      <c r="H81" s="233">
        <f>Inputs!F94</f>
        <v>0</v>
      </c>
      <c r="I81" s="157">
        <f>H81/$H$74</f>
        <v>0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20662</v>
      </c>
      <c r="D82" s="156">
        <f>C82/$C$74</f>
        <v>8.8200573996119572E-5</v>
      </c>
      <c r="E82" s="233">
        <f>Inputs!E95</f>
        <v>20662</v>
      </c>
      <c r="F82" s="157">
        <f>E82/E74</f>
        <v>8.8200573996119572E-5</v>
      </c>
      <c r="H82" s="233">
        <f>Inputs!F95</f>
        <v>20662</v>
      </c>
      <c r="I82" s="157">
        <f>H82/$H$74</f>
        <v>8.8200573996119572E-5</v>
      </c>
      <c r="K82" s="24"/>
    </row>
    <row r="83" spans="1:11" ht="15" customHeight="1" thickBot="1" x14ac:dyDescent="0.45">
      <c r="B83" s="104" t="s">
        <v>119</v>
      </c>
      <c r="C83" s="160">
        <f>C79-C81-C82-C80</f>
        <v>12921028</v>
      </c>
      <c r="D83" s="161">
        <f>C83/$C$74</f>
        <v>5.5156426590839844E-2</v>
      </c>
      <c r="E83" s="162">
        <f>E79-E81-E82-E80</f>
        <v>12921028</v>
      </c>
      <c r="F83" s="161">
        <f>E83/E74</f>
        <v>5.5156426590839844E-2</v>
      </c>
      <c r="H83" s="162">
        <f>H79-H81-H82-H80</f>
        <v>12921028</v>
      </c>
      <c r="I83" s="161">
        <f>H83/$H$74</f>
        <v>5.5156426590839844E-2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9690771</v>
      </c>
      <c r="D85" s="253">
        <f>C85/$C$74</f>
        <v>4.1367319943129879E-2</v>
      </c>
      <c r="E85" s="259">
        <f>E83*(1-F84)</f>
        <v>9690771</v>
      </c>
      <c r="F85" s="253">
        <f>E85/E74</f>
        <v>4.1367319943129879E-2</v>
      </c>
      <c r="G85" s="255"/>
      <c r="H85" s="259">
        <f>H83*(1-I84)</f>
        <v>9690771</v>
      </c>
      <c r="I85" s="253">
        <f>H85/$H$74</f>
        <v>4.1367319943129879E-2</v>
      </c>
      <c r="K85" s="24"/>
    </row>
    <row r="86" spans="1:11" ht="15" customHeight="1" x14ac:dyDescent="0.4">
      <c r="B86" s="86" t="s">
        <v>151</v>
      </c>
      <c r="C86" s="164">
        <f>C85*Data!C4/Common_Shares</f>
        <v>0.33767089074623169</v>
      </c>
      <c r="D86" s="204"/>
      <c r="E86" s="165">
        <f>E85*Data!C4/Common_Shares</f>
        <v>0.33767089074623169</v>
      </c>
      <c r="F86" s="204"/>
      <c r="H86" s="165">
        <f>H85*Data!C4/Common_Shares</f>
        <v>0.33767089074623169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7.5718371654436581E-2</v>
      </c>
      <c r="D87" s="204"/>
      <c r="E87" s="257">
        <f>E86*Exchange_Rate/Dashboard!G3</f>
        <v>7.5718371654436581E-2</v>
      </c>
      <c r="F87" s="204"/>
      <c r="H87" s="257">
        <f>H86*Exchange_Rate/Dashboard!G3</f>
        <v>7.5718371654436581E-2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0.2</v>
      </c>
      <c r="D88" s="163">
        <f>C88/C86</f>
        <v>0.59229268936393198</v>
      </c>
      <c r="E88" s="167">
        <f>Inputs!E98</f>
        <v>0.2</v>
      </c>
      <c r="F88" s="163">
        <f>E88/E86</f>
        <v>0.59229268936393198</v>
      </c>
      <c r="H88" s="167">
        <f>Inputs!F98</f>
        <v>0.2</v>
      </c>
      <c r="I88" s="163">
        <f>H88/H86</f>
        <v>0.59229268936393198</v>
      </c>
      <c r="K88" s="24"/>
    </row>
    <row r="89" spans="1:11" ht="15" customHeight="1" x14ac:dyDescent="0.4">
      <c r="B89" s="86" t="s">
        <v>205</v>
      </c>
      <c r="C89" s="256">
        <f>C88*Exchange_Rate/Dashboard!G3</f>
        <v>4.4847437981463956E-2</v>
      </c>
      <c r="D89" s="204"/>
      <c r="E89" s="256">
        <f>E88*Exchange_Rate/Dashboard!G3</f>
        <v>4.4847437981463956E-2</v>
      </c>
      <c r="F89" s="204"/>
      <c r="H89" s="256">
        <f>H88*Exchange_Rate/Dashboard!G3</f>
        <v>4.4847437981463956E-2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7.8363759809017353</v>
      </c>
      <c r="H93" s="86" t="s">
        <v>194</v>
      </c>
      <c r="I93" s="142">
        <f>FV(H87,D93,0,-(H86/(C93-D94)))*Exchange_Rate</f>
        <v>7.8363759809017353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4.0125745915355155</v>
      </c>
      <c r="H94" s="86" t="s">
        <v>195</v>
      </c>
      <c r="I94" s="142">
        <f>FV(H89,D93,0,-(H88/(C93-D94)))*Exchange_Rate</f>
        <v>4.0125745915355155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111812606.24220513</v>
      </c>
      <c r="D97" s="208"/>
      <c r="E97" s="121">
        <f>PV(C94,D93,0,-F93)</f>
        <v>3.8960638267546588</v>
      </c>
      <c r="F97" s="208"/>
      <c r="H97" s="121">
        <f>PV(C94,D93,0,-I93)</f>
        <v>3.8960638267546588</v>
      </c>
      <c r="I97" s="121">
        <f>PV(C93,D93,0,-I93)</f>
        <v>5.1816290340640752</v>
      </c>
      <c r="K97" s="24"/>
    </row>
    <row r="98" spans="2:11" ht="15" customHeight="1" x14ac:dyDescent="0.4">
      <c r="B98" s="28" t="s">
        <v>138</v>
      </c>
      <c r="C98" s="90">
        <f>-E53*Exchange_Rate</f>
        <v>-42178919.654347777</v>
      </c>
      <c r="D98" s="208"/>
      <c r="E98" s="208"/>
      <c r="F98" s="208"/>
      <c r="H98" s="121">
        <f>C98*Data!$C$4/Common_Shares</f>
        <v>-1.4697069377036516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69633686.587857351</v>
      </c>
      <c r="D100" s="108">
        <f>MIN(F100*(1-C94),E100)</f>
        <v>2.0624033556933559</v>
      </c>
      <c r="E100" s="108">
        <f>MAX(E97+H98+E99,0)</f>
        <v>2.4263568890510072</v>
      </c>
      <c r="F100" s="108">
        <f>(E100+H100)/2</f>
        <v>2.4263568890510072</v>
      </c>
      <c r="H100" s="108">
        <f>MAX(C100*Data!$C$4/Common_Shares,0)</f>
        <v>2.4263568890510072</v>
      </c>
      <c r="I100" s="108">
        <f>MAX(I97+H98+H99,0)</f>
        <v>3.7119220963604236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57253049.613019027</v>
      </c>
      <c r="D103" s="108">
        <f>MIN(F103*(1-C94),E103)</f>
        <v>1.6957149252264221</v>
      </c>
      <c r="E103" s="121">
        <f>PV(C94,D93,0,-F94)</f>
        <v>1.9949587355604967</v>
      </c>
      <c r="F103" s="108">
        <f>(E103+H103)/2</f>
        <v>1.9949587355604967</v>
      </c>
      <c r="H103" s="121">
        <f>PV(C94,D93,0,-I94)</f>
        <v>1.9949587355604967</v>
      </c>
      <c r="I103" s="108">
        <f>PV(C93,D93,0,-I94)</f>
        <v>2.6532255542000827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63443368.100438185</v>
      </c>
      <c r="D106" s="108">
        <f>(D100+D103)/2</f>
        <v>1.8790591404598889</v>
      </c>
      <c r="E106" s="121">
        <f>(E100+E103)/2</f>
        <v>2.2106578123057519</v>
      </c>
      <c r="F106" s="108">
        <f>(F100+F103)/2</f>
        <v>2.2106578123057519</v>
      </c>
      <c r="H106" s="121">
        <f>(H100+H103)/2</f>
        <v>2.2106578123057519</v>
      </c>
      <c r="I106" s="121">
        <f>(I100+I103)/2</f>
        <v>3.1825738252802531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