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9AE894B-9C0F-4CA7-BDF6-41255873AC0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B47" i="4"/>
  <c r="C49" i="3"/>
  <c r="F56" i="2"/>
  <c r="J56" i="2"/>
  <c r="C56" i="2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F97" i="4"/>
  <c r="D53" i="4"/>
  <c r="H56" i="2"/>
  <c r="G56" i="2"/>
  <c r="D27" i="2"/>
  <c r="M56" i="2"/>
  <c r="E56" i="2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<sst xmlns="http://schemas.openxmlformats.org/spreadsheetml/2006/main" count="392" uniqueCount="277">
  <si>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</si>
  <si>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</si>
  <si>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</si>
  <si>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</si>
  <si>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</si>
  <si>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</si>
  <si>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</si>
  <si>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</si>
  <si>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</si>
  <si>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</si>
  <si>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</si>
  <si>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</si>
  <si>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</si>
  <si>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</si>
  <si>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</si>
  <si>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</si>
  <si>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</si>
  <si>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</si>
  <si>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</si>
  <si>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</si>
  <si>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</si>
  <si>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</si>
  <si>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</si>
  <si>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</si>
  <si>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</si>
  <si>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</si>
  <si>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</si>
  <si>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</si>
  <si>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</si>
  <si>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</si>
  <si>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</si>
  <si>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</si>
  <si>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</si>
  <si>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</si>
  <si>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</si>
  <si>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</si>
  <si>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</si>
  <si>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</si>
  <si>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</si>
  <si>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</si>
  <si>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</si>
  <si>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</si>
  <si>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</si>
  <si>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</si>
  <si>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</si>
  <si>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</si>
  <si>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</si>
  <si>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</si>
  <si>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</si>
  <si>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</si>
  <si>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</si>
  <si>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</si>
  <si>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</si>
  <si>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</si>
  <si>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</si>
  <si>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</si>
  <si>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</si>
  <si>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</si>
  <si>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</si>
  <si>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</si>
  <si>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</si>
  <si>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</si>
  <si>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</si>
  <si>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</si>
  <si>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</si>
  <si>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</si>
  <si>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</si>
  <si>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</si>
  <si>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</si>
  <si>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</si>
  <si>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</si>
  <si>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</si>
  <si>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</si>
  <si>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</si>
  <si>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</si>
  <si>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</si>
  <si>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</si>
  <si>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</si>
  <si>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</si>
  <si>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</si>
  <si>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</si>
  <si>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</si>
  <si>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</si>
  <si>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</si>
  <si>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</si>
  <si>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</si>
  <si>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</si>
  <si>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</si>
  <si>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</si>
  <si>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</si>
  <si>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</si>
  <si>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</si>
  <si>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</si>
  <si>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</si>
  <si>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</si>
  <si>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</si>
  <si>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</si>
  <si>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</si>
  <si>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</si>
  <si>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</si>
  <si>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</si>
  <si>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</si>
  <si>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</si>
  <si>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</si>
  <si>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</si>
  <si>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</si>
  <si>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</si>
  <si>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</si>
  <si>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</si>
  <si>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</si>
  <si>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</si>
  <si>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</si>
  <si>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</si>
  <si>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</si>
  <si>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</si>
  <si>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</si>
  <si>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</si>
  <si>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</si>
  <si>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</si>
  <si>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</si>
  <si>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</si>
  <si>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</si>
  <si>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</si>
  <si>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</si>
  <si>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</si>
  <si>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</si>
  <si>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</si>
  <si>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</si>
  <si>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</si>
  <si>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</si>
  <si>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</si>
  <si>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</si>
  <si>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</si>
  <si>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</si>
  <si>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</si>
  <si>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</si>
  <si>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</si>
  <si>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</si>
  <si>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</si>
  <si>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</si>
  <si>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</si>
  <si>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</si>
  <si>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</si>
  <si>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</si>
  <si>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</si>
  <si>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</si>
  <si>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</si>
  <si>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</si>
  <si>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</si>
  <si>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</si>
  <si>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</si>
  <si>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</si>
  <si>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</si>
  <si>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</si>
  <si>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</si>
  <si>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</si>
  <si>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</si>
  <si>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</si>
  <si>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</si>
  <si>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</si>
  <si>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</si>
  <si>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</si>
  <si>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</si>
  <si>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</si>
  <si>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</si>
  <si>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</si>
  <si>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</si>
  <si>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</si>
  <si>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</si>
  <si>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</si>
  <si>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</si>
  <si>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</si>
  <si>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</si>
  <si>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</si>
  <si>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</si>
  <si>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</si>
  <si>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</si>
  <si>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</si>
  <si>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</si>
  <si>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</si>
  <si>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</si>
  <si>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</si>
  <si>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</si>
  <si>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</si>
  <si>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</si>
  <si>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</si>
  <si>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</si>
  <si>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</si>
  <si>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</si>
  <si>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</si>
  <si>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</si>
  <si>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</si>
  <si>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</si>
  <si>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</si>
  <si>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</si>
  <si>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</si>
  <si>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</si>
  <si>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</si>
  <si>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</si>
  <si>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</si>
  <si>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</si>
  <si>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</si>
  <si>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</si>
  <si>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</si>
  <si>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</si>
  <si>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</si>
  <si>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</si>
  <si>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</si>
  <si>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</si>
  <si>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</si>
  <si>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</si>
  <si>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</si>
  <si>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</si>
  <si>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</si>
  <si>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</si>
  <si>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</si>
  <si>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</si>
  <si>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</si>
  <si>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</si>
  <si>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</si>
  <si>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</si>
  <si>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</si>
  <si>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</si>
  <si>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</si>
  <si>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</si>
  <si>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</si>
  <si>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</si>
  <si>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</si>
  <si>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</si>
  <si>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</si>
  <si>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</si>
  <si>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</si>
  <si>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</si>
  <si>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</si>
  <si>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</si>
  <si>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</si>
  <si>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</si>
  <si>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</si>
  <si>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</si>
  <si>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</si>
  <si>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</si>
  <si>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</si>
  <si>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</si>
  <si>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</si>
  <si>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</si>
  <si>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</si>
  <si>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</si>
  <si>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</si>
  <si>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</si>
  <si>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</si>
  <si>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</si>
  <si>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</si>
  <si>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</si>
  <si>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</si>
  <si>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</si>
  <si>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</si>
  <si>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</si>
  <si>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</si>
  <si>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</si>
  <si>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</si>
  <si>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</si>
  <si>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</si>
  <si>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</si>
  <si>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</si>
  <si>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</si>
  <si>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</si>
  <si>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</si>
  <si>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3988.HK</t>
  </si>
  <si>
    <t>中国银行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</si>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</sst>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45605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269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294387791241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238</v>
      </c>
    </row>
    <row r="16" spans="1:5" ht="13.9" x14ac:dyDescent="0.4">
      <c r="B16" s="217" t="s">
        <v>92</v>
      </c>
      <c r="C16" s="218">
        <v>0.25</v>
      </c>
      <c r="D16" s="24"/>
      <c r="E16" s="109" t="s">
        <v>266</v>
      </c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273</v>
      </c>
      <c r="D18" s="24"/>
    </row>
    <row r="19" spans="2:13" ht="13.9" x14ac:dyDescent="0.4">
      <c r="B19" s="235" t="s">
        <v>223</v>
      </c>
      <c r="C19" s="237" t="s">
        <v>273</v>
      </c>
      <c r="D19" s="24"/>
    </row>
    <row r="20" spans="2:13" ht="13.9" x14ac:dyDescent="0.4">
      <c r="B20" s="236" t="s">
        <v>212</v>
      </c>
      <c r="C20" s="237" t="s">
        <v>273</v>
      </c>
      <c r="D20" s="24"/>
    </row>
    <row r="21" spans="2:13" ht="13.9" x14ac:dyDescent="0.4">
      <c r="B21" s="219" t="s">
        <v>215</v>
      </c>
      <c r="C21" s="237" t="s">
        <v>272</v>
      </c>
      <c r="D21" s="24"/>
    </row>
    <row r="22" spans="2:13" ht="78.75" x14ac:dyDescent="0.4">
      <c r="B22" s="221" t="s">
        <v>214</v>
      </c>
      <c r="C22" s="238" t="s">
        <v>274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1141220</v>
      </c>
      <c r="D25" s="147">
        <v>967950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13504</v>
      </c>
      <c r="D26" s="148">
        <v>12212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222933</v>
      </c>
      <c r="D27" s="148">
        <v>199506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>
        <v>582306</v>
      </c>
      <c r="D29" s="148">
        <v>421582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>
        <v>31128291</v>
      </c>
      <c r="D37" s="148">
        <v>26330247</v>
      </c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2778976</v>
      </c>
      <c r="D41" s="148">
        <v>2563301</v>
      </c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130155</v>
      </c>
      <c r="D42" s="148">
        <v>139328</v>
      </c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0.2364</v>
      </c>
      <c r="D44" s="245">
        <v>0.23200000000000001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6.5881471870462213E-2</v>
      </c>
      <c r="D45" s="150">
        <f>IF(D44="","",D44*Exchange_Rate/Dashboard!$G$3)</f>
        <v>6.4655251581841086E-2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275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1141220</v>
      </c>
      <c r="D91" s="204"/>
      <c r="E91" s="246">
        <f>C91</f>
        <v>1141220</v>
      </c>
      <c r="F91" s="246">
        <f>C91</f>
        <v>1141220</v>
      </c>
    </row>
    <row r="92" spans="2:8" ht="13.9" x14ac:dyDescent="0.4">
      <c r="B92" s="103" t="s">
        <v>101</v>
      </c>
      <c r="C92" s="77">
        <f>C26</f>
        <v>13504</v>
      </c>
      <c r="D92" s="156">
        <f>C92/C91</f>
        <v>1.1832950701880444E-2</v>
      </c>
      <c r="E92" s="247">
        <f>E91*D92</f>
        <v>13504</v>
      </c>
      <c r="F92" s="247">
        <f>F91*D92</f>
        <v>13504</v>
      </c>
    </row>
    <row r="93" spans="2:8" ht="13.9" x14ac:dyDescent="0.4">
      <c r="B93" s="103" t="s">
        <v>228</v>
      </c>
      <c r="C93" s="77">
        <f>C27+C28</f>
        <v>222933</v>
      </c>
      <c r="D93" s="156">
        <f>C93/C91</f>
        <v>0.19534620844359546</v>
      </c>
      <c r="E93" s="247">
        <f>E91*D93</f>
        <v>222933</v>
      </c>
      <c r="F93" s="247">
        <f>F91*D93</f>
        <v>222933</v>
      </c>
    </row>
    <row r="94" spans="2:8" ht="13.9" x14ac:dyDescent="0.4">
      <c r="B94" s="103" t="s">
        <v>235</v>
      </c>
      <c r="C94" s="77">
        <f>C29</f>
        <v>582306</v>
      </c>
      <c r="D94" s="156">
        <f>C94/C91</f>
        <v>0.51024868123587042</v>
      </c>
      <c r="E94" s="248"/>
      <c r="F94" s="247">
        <f>F91*D94</f>
        <v>582306</v>
      </c>
    </row>
    <row r="95" spans="2:8" ht="13.9" x14ac:dyDescent="0.4">
      <c r="B95" s="28" t="s">
        <v>227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0.2364</v>
      </c>
      <c r="D98" s="261"/>
      <c r="E98" s="249">
        <f>F98</f>
        <v>0.3</v>
      </c>
      <c r="F98" s="249">
        <v>0.3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3988.HK : 中国银行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3988.HK</v>
      </c>
      <c r="D3" s="291"/>
      <c r="E3" s="86"/>
      <c r="F3" s="3" t="s">
        <v>1</v>
      </c>
      <c r="G3" s="130">
        <v>3.83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中国银行</v>
      </c>
      <c r="D4" s="293"/>
      <c r="E4" s="86"/>
      <c r="F4" s="3" t="s">
        <v>2</v>
      </c>
      <c r="G4" s="296">
        <f>Inputs!C10</f>
        <v>294387791241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45605</v>
      </c>
      <c r="D5" s="295"/>
      <c r="E5" s="34"/>
      <c r="F5" s="35" t="s">
        <v>95</v>
      </c>
      <c r="G5" s="288">
        <f>G3*G4/1000000</f>
        <v>1127505.24045303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247</v>
      </c>
      <c r="C20" s="271">
        <f>C21*C22*C23</f>
        <v>0.34157951783076312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252</v>
      </c>
      <c r="C21" s="283">
        <f>Data!C13</f>
        <v>0.79282084085452409</v>
      </c>
      <c r="F21" s="86"/>
      <c r="G21" s="29"/>
    </row>
    <row r="22" spans="1:8" ht="15.75" customHeight="1" x14ac:dyDescent="0.4">
      <c r="B22" s="273" t="s">
        <v>259</v>
      </c>
      <c r="C22" s="274">
        <f>Data!C48</f>
        <v>3.365709185585497E-2</v>
      </c>
      <c r="F22" s="140" t="s">
        <v>170</v>
      </c>
    </row>
    <row r="23" spans="1:8" ht="15.75" customHeight="1" thickBot="1" x14ac:dyDescent="0.45">
      <c r="B23" s="275" t="s">
        <v>265</v>
      </c>
      <c r="C23" s="282">
        <f>1/Data!C53</f>
        <v>12.800890282884346</v>
      </c>
      <c r="F23" s="138" t="s">
        <v>174</v>
      </c>
      <c r="G23" s="174">
        <f>G3/(Data!C34*Data!C4/Common_Shares*Exchange_Rate)</f>
        <v>0.38011864979429566</v>
      </c>
    </row>
    <row r="24" spans="1:8" ht="15.75" customHeight="1" x14ac:dyDescent="0.4">
      <c r="B24" s="280" t="s">
        <v>253</v>
      </c>
      <c r="C24" s="281">
        <f>Fin_Analysis!I81</f>
        <v>0.51024868123587042</v>
      </c>
      <c r="F24" s="138" t="s">
        <v>237</v>
      </c>
      <c r="G24" s="263">
        <f>G3/(Fin_Analysis!H86*G7)</f>
        <v>4.3676111471753645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161</v>
      </c>
      <c r="G25" s="168">
        <f>Fin_Analysis!I88</f>
        <v>0.36515818646415088</v>
      </c>
    </row>
    <row r="26" spans="1:8" ht="15.75" customHeight="1" x14ac:dyDescent="0.4">
      <c r="B26" s="136" t="s">
        <v>255</v>
      </c>
      <c r="C26" s="168">
        <f>Fin_Analysis!I80+Fin_Analysis!I82</f>
        <v>0</v>
      </c>
      <c r="F26" s="139" t="s">
        <v>178</v>
      </c>
      <c r="G26" s="175">
        <f>Fin_Analysis!H88*Exchange_Rate/G3</f>
        <v>8.3605928769622084E-2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236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3.0516628711725544</v>
      </c>
      <c r="D29" s="127">
        <f>G29*(1+G20)</f>
        <v>5.4910541040647569</v>
      </c>
      <c r="E29" s="86"/>
      <c r="F29" s="129">
        <f>IF(Fin_Analysis!C108="Profit",Fin_Analysis!F100,IF(Fin_Analysis!C108="Dividend",Fin_Analysis!F103,Fin_Analysis!F106))</f>
        <v>3.5901916131441816</v>
      </c>
      <c r="G29" s="287">
        <f>IF(Fin_Analysis!C108="Profit",Fin_Analysis!I100,IF(Fin_Analysis!C108="Dividend",Fin_Analysis!I103,Fin_Analysis!I106))</f>
        <v>4.7748296557084844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904783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1141220</v>
      </c>
      <c r="D6" s="197">
        <f>IF(Inputs!D25="","",Inputs!D25)</f>
        <v>967950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0.17900718012294026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13504</v>
      </c>
      <c r="D8" s="196">
        <f>IF(Inputs!D26="","",Inputs!D26)</f>
        <v>12212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1127716</v>
      </c>
      <c r="D9" s="149">
        <f t="shared" si="2"/>
        <v>955738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222933</v>
      </c>
      <c r="D10" s="196">
        <f>IF(Inputs!D27="","",Inputs!D27)</f>
        <v>199506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 t="str">
        <f>IF(Inputs!C30="","",MAX(Inputs!C30,0)/(1-Fin_Analysis!$I$84))</f>
        <v/>
      </c>
      <c r="D12" s="196" t="str">
        <f>IF(Inputs!D30="","",MAX(Inputs!D30,0)/(1-Fin_Analysis!$I$84))</f>
        <v/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0.79282084085452409</v>
      </c>
      <c r="D13" s="224">
        <f t="shared" si="3"/>
        <v>0.78127175990495379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904783</v>
      </c>
      <c r="D14" s="225">
        <f t="shared" ref="D14:M14" si="4">IF(D6="","",D9-D10-MAX(D11,0)-MAX(D12,0))</f>
        <v>756232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0.19643574987569953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>
        <f>IF(Inputs!C29="","",Inputs!C29)</f>
        <v>582306</v>
      </c>
      <c r="D17" s="196">
        <f>IF(Inputs!D29="","",Inputs!D29)</f>
        <v>421582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322477</v>
      </c>
      <c r="D22" s="158">
        <f t="shared" ref="D22:M22" si="8">IF(D6="","",D14-MAX(D16,0)-MAX(D17,0)-ABS(MAX(D21,0)-MAX(D19,0)))</f>
        <v>334650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0.21192911971399028</v>
      </c>
      <c r="D23" s="151">
        <f t="shared" si="9"/>
        <v>0.2592980009298001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241857.75</v>
      </c>
      <c r="D24" s="77">
        <f>IF(D6="","",D22*(1-Fin_Analysis!$I$84))</f>
        <v>250987.5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-3.6375317495891228E-2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33907267</v>
      </c>
      <c r="D27" s="65">
        <f>IF(D34="","",D34+D30)</f>
        <v>28893548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31128291</v>
      </c>
      <c r="D30" s="196">
        <f>IF(Inputs!D37="","",Inputs!D37)</f>
        <v>26330247</v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2778976</v>
      </c>
      <c r="D34" s="196">
        <f>IF(Inputs!D41="","",Inputs!D41)</f>
        <v>2563301</v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130155</v>
      </c>
      <c r="D35" s="196">
        <f>IF(Inputs!D42="","",Inputs!D42)</f>
        <v>139328</v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33907267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2.6684043865876892E-2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1.1832950701880444E-2</v>
      </c>
      <c r="D40" s="154">
        <f t="shared" si="34"/>
        <v>1.2616354150524305E-2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0.19534620844359546</v>
      </c>
      <c r="D41" s="151">
        <f t="shared" si="35"/>
        <v>0.20611188594452193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0.51024868123587042</v>
      </c>
      <c r="D43" s="151">
        <f t="shared" si="37"/>
        <v>0.43554109199855362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0.28257215961865373</v>
      </c>
      <c r="D46" s="151">
        <f t="shared" si="40"/>
        <v>0.34573066790640011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6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>
        <f t="shared" ref="C48:M48" si="41">IF(C6="","",C6/C27)</f>
        <v>3.365709185585497E-2</v>
      </c>
      <c r="D48" s="267">
        <f t="shared" si="41"/>
        <v>3.3500558671437648E-2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>
        <f t="shared" ref="C53:M53" si="45">IF(C34="","",(C34-C35)/C27)</f>
        <v>7.8119566522421288E-2</v>
      </c>
      <c r="D53" s="154">
        <f t="shared" si="45"/>
        <v>8.3893227650685201E-2</v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1.8057287806572251</v>
      </c>
      <c r="D55" s="151">
        <f t="shared" si="47"/>
        <v>1.259769908860003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>
        <f>IF(D34="","",IF(Inputs!D38=0,0,Inputs!D38/D27))</f>
        <v>0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>
        <f t="shared" ref="C58:M58" si="49">IF(C14="","",C14/(C34-C35))</f>
        <v>0.34157951783076318</v>
      </c>
      <c r="D58" s="269">
        <f t="shared" si="49"/>
        <v>0.31198037271867302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>
        <f t="shared" ref="C59:M59" si="50">IF(C22="","",C22/(C34-C35))</f>
        <v>0.12174359837829736</v>
      </c>
      <c r="D59" s="269">
        <f t="shared" si="50"/>
        <v>0.13805846847303993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2778976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2648821</v>
      </c>
      <c r="K3" s="24"/>
    </row>
    <row r="4" spans="1:11" ht="15" customHeight="1" x14ac:dyDescent="0.4">
      <c r="B4" s="3" t="s">
        <v>22</v>
      </c>
      <c r="C4" s="86"/>
      <c r="D4" s="196">
        <f>Inputs!C42</f>
        <v>130155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-31258446</v>
      </c>
      <c r="E6" s="56">
        <f>1-D6/D3</f>
        <v>12.248188541390785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31128291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31128291</v>
      </c>
      <c r="J48" s="8"/>
    </row>
    <row r="49" spans="2:11" ht="15" customHeight="1" thickTop="1" x14ac:dyDescent="0.4">
      <c r="B49" s="3" t="s">
        <v>13</v>
      </c>
      <c r="C49" s="61">
        <f>Inputs!C41+Inputs!C37</f>
        <v>33907267</v>
      </c>
      <c r="D49" s="56">
        <f>E49/C49</f>
        <v>0</v>
      </c>
      <c r="E49" s="87">
        <f>E28+E48</f>
        <v>0</v>
      </c>
      <c r="F49" s="86"/>
      <c r="G49" s="86"/>
      <c r="H49" s="3" t="s">
        <v>81</v>
      </c>
      <c r="I49" s="40">
        <f>Inputs!C37</f>
        <v>31128291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130155</v>
      </c>
      <c r="D53" s="29">
        <f>IF(E53=0, 0,E53/C53)</f>
        <v>1</v>
      </c>
      <c r="E53" s="87">
        <f>IF(C53=0,0,MAX(C53,C53*Dashboard!G23))</f>
        <v>130155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33907267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31128291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2778976</v>
      </c>
      <c r="D70" s="29">
        <f t="shared" si="2"/>
        <v>-11.201352944393907</v>
      </c>
      <c r="E70" s="68">
        <f>E68-E69</f>
        <v>-31128291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1141220</v>
      </c>
      <c r="D74" s="204"/>
      <c r="E74" s="233">
        <f>Inputs!E91</f>
        <v>1141220</v>
      </c>
      <c r="F74" s="204"/>
      <c r="H74" s="233">
        <f>Inputs!F91</f>
        <v>1141220</v>
      </c>
      <c r="I74" s="204"/>
      <c r="K74" s="24"/>
    </row>
    <row r="75" spans="1:11" ht="15" customHeight="1" x14ac:dyDescent="0.4">
      <c r="B75" s="103" t="s">
        <v>101</v>
      </c>
      <c r="C75" s="77">
        <f>Data!C8</f>
        <v>13504</v>
      </c>
      <c r="D75" s="156">
        <f>C75/$C$74</f>
        <v>1.1832950701880444E-2</v>
      </c>
      <c r="E75" s="233">
        <f>Inputs!E92</f>
        <v>13504</v>
      </c>
      <c r="F75" s="157">
        <f>E75/E74</f>
        <v>1.1832950701880444E-2</v>
      </c>
      <c r="H75" s="233">
        <f>Inputs!F92</f>
        <v>13504</v>
      </c>
      <c r="I75" s="157">
        <f>H75/$H$74</f>
        <v>1.1832950701880444E-2</v>
      </c>
      <c r="K75" s="24"/>
    </row>
    <row r="76" spans="1:11" ht="15" customHeight="1" x14ac:dyDescent="0.4">
      <c r="B76" s="35" t="s">
        <v>91</v>
      </c>
      <c r="C76" s="158">
        <f>C74-C75</f>
        <v>1127716</v>
      </c>
      <c r="D76" s="205"/>
      <c r="E76" s="159">
        <f>E74-E75</f>
        <v>1127716</v>
      </c>
      <c r="F76" s="205"/>
      <c r="H76" s="159">
        <f>H74-H75</f>
        <v>1127716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222933</v>
      </c>
      <c r="D77" s="156">
        <f>C77/$C$74</f>
        <v>0.19534620844359546</v>
      </c>
      <c r="E77" s="233">
        <f>Inputs!E93</f>
        <v>222933</v>
      </c>
      <c r="F77" s="157">
        <f>E77/E74</f>
        <v>0.19534620844359546</v>
      </c>
      <c r="H77" s="233">
        <f>Inputs!F93</f>
        <v>222933</v>
      </c>
      <c r="I77" s="157">
        <f>H77/$H$74</f>
        <v>0.19534620844359546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904783</v>
      </c>
      <c r="D79" s="253">
        <f>C79/C74</f>
        <v>0.79282084085452409</v>
      </c>
      <c r="E79" s="254">
        <f>E76-E77-E78</f>
        <v>904783</v>
      </c>
      <c r="F79" s="253">
        <f>E79/E74</f>
        <v>0.79282084085452409</v>
      </c>
      <c r="G79" s="255"/>
      <c r="H79" s="254">
        <f>H76-H77-H78</f>
        <v>904783</v>
      </c>
      <c r="I79" s="253">
        <f>H79/H74</f>
        <v>0.79282084085452409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582306</v>
      </c>
      <c r="D81" s="156">
        <f>C81/$C$74</f>
        <v>0.51024868123587042</v>
      </c>
      <c r="E81" s="177">
        <f>E74*F81</f>
        <v>582306</v>
      </c>
      <c r="F81" s="157">
        <f>I81</f>
        <v>0.51024868123587042</v>
      </c>
      <c r="H81" s="233">
        <f>Inputs!F94</f>
        <v>582306</v>
      </c>
      <c r="I81" s="157">
        <f>H81/$H$74</f>
        <v>0.51024868123587042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322477</v>
      </c>
      <c r="D83" s="161">
        <f>C83/$C$74</f>
        <v>0.28257215961865373</v>
      </c>
      <c r="E83" s="162">
        <f>E79-E81-E82-E80</f>
        <v>322477</v>
      </c>
      <c r="F83" s="161">
        <f>E83/E74</f>
        <v>0.28257215961865373</v>
      </c>
      <c r="H83" s="162">
        <f>H79-H81-H82-H80</f>
        <v>322477</v>
      </c>
      <c r="I83" s="161">
        <f>H83/$H$74</f>
        <v>0.28257215961865373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241857.75</v>
      </c>
      <c r="D85" s="253">
        <f>C85/$C$74</f>
        <v>0.21192911971399028</v>
      </c>
      <c r="E85" s="259">
        <f>E83*(1-F84)</f>
        <v>241857.75</v>
      </c>
      <c r="F85" s="253">
        <f>E85/E74</f>
        <v>0.21192911971399028</v>
      </c>
      <c r="G85" s="255"/>
      <c r="H85" s="259">
        <f>H83*(1-I84)</f>
        <v>241857.75</v>
      </c>
      <c r="I85" s="253">
        <f>H85/$H$74</f>
        <v>0.21192911971399028</v>
      </c>
      <c r="K85" s="24"/>
    </row>
    <row r="86" spans="1:11" ht="15" customHeight="1" x14ac:dyDescent="0.4">
      <c r="B86" s="86" t="s">
        <v>151</v>
      </c>
      <c r="C86" s="164">
        <f>C85*Data!C4/Common_Shares</f>
        <v>0.82156175356471772</v>
      </c>
      <c r="D86" s="204"/>
      <c r="E86" s="165">
        <f>E85*Data!C4/Common_Shares</f>
        <v>0.82156175356471772</v>
      </c>
      <c r="F86" s="204"/>
      <c r="H86" s="165">
        <f>H85*Data!C4/Common_Shares</f>
        <v>0.82156175356471772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0.22895811149459203</v>
      </c>
      <c r="D87" s="204"/>
      <c r="E87" s="257">
        <f>E86*Exchange_Rate/Dashboard!G3</f>
        <v>0.22895811149459203</v>
      </c>
      <c r="F87" s="204"/>
      <c r="H87" s="257">
        <f>H86*Exchange_Rate/Dashboard!G3</f>
        <v>0.22895811149459203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0.2364</v>
      </c>
      <c r="D88" s="163">
        <f>C88/C86</f>
        <v>0.2877446509337509</v>
      </c>
      <c r="E88" s="167">
        <f>Inputs!E98</f>
        <v>0.3</v>
      </c>
      <c r="F88" s="163">
        <f>E88/E86</f>
        <v>0.36515818646415088</v>
      </c>
      <c r="H88" s="167">
        <f>Inputs!F98</f>
        <v>0.3</v>
      </c>
      <c r="I88" s="163">
        <f>H88/H86</f>
        <v>0.36515818646415088</v>
      </c>
      <c r="K88" s="24"/>
    </row>
    <row r="89" spans="1:11" ht="15" customHeight="1" x14ac:dyDescent="0.4">
      <c r="B89" s="86" t="s">
        <v>205</v>
      </c>
      <c r="C89" s="256">
        <f>C88*Exchange_Rate/Dashboard!G3</f>
        <v>6.5881471870462213E-2</v>
      </c>
      <c r="D89" s="204"/>
      <c r="E89" s="256">
        <f>E88*Exchange_Rate/Dashboard!G3</f>
        <v>8.3605928769622084E-2</v>
      </c>
      <c r="F89" s="204"/>
      <c r="H89" s="256">
        <f>H88*Exchange_Rate/Dashboard!G3</f>
        <v>8.3605928769622084E-2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37.106870416558181</v>
      </c>
      <c r="H93" s="86" t="s">
        <v>194</v>
      </c>
      <c r="I93" s="142">
        <f>FV(H87,D93,0,-(H86/(C93-D94)))*Exchange_Rate</f>
        <v>37.106870416558181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7.2211577055997669</v>
      </c>
      <c r="H94" s="86" t="s">
        <v>195</v>
      </c>
      <c r="I94" s="142">
        <f>FV(H89,D93,0,-(H88/(C93-D94)))*Exchange_Rate</f>
        <v>7.2211577055997669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5431064.0047848644</v>
      </c>
      <c r="D97" s="208"/>
      <c r="E97" s="121">
        <f>PV(C94,D93,0,-F93)</f>
        <v>18.448672690841089</v>
      </c>
      <c r="F97" s="208"/>
      <c r="H97" s="121">
        <f>PV(C94,D93,0,-I93)</f>
        <v>18.448672690841089</v>
      </c>
      <c r="I97" s="121">
        <f>PV(C93,D93,0,-I93)</f>
        <v>24.536091374672161</v>
      </c>
      <c r="K97" s="24"/>
    </row>
    <row r="98" spans="2:11" ht="15" customHeight="1" x14ac:dyDescent="0.4">
      <c r="B98" s="28" t="s">
        <v>138</v>
      </c>
      <c r="C98" s="90">
        <f>-E53*Exchange_Rate</f>
        <v>-138923.41531336308</v>
      </c>
      <c r="D98" s="208"/>
      <c r="E98" s="208"/>
      <c r="F98" s="208"/>
      <c r="H98" s="121">
        <f>C98*Data!$C$4/Common_Shares</f>
        <v>-0.47190617086302222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5292140.5894715013</v>
      </c>
      <c r="D100" s="108">
        <f>MIN(F100*(1-C94),E100)</f>
        <v>15.280251541981357</v>
      </c>
      <c r="E100" s="108">
        <f>MAX(E97+H98+E99,0)</f>
        <v>17.976766519978067</v>
      </c>
      <c r="F100" s="108">
        <f>(E100+H100)/2</f>
        <v>17.976766519978067</v>
      </c>
      <c r="H100" s="108">
        <f>MAX(C100*Data!$C$4/Common_Shares,0)</f>
        <v>17.976766519978067</v>
      </c>
      <c r="I100" s="108">
        <f>MAX(I97+H98+H99,0)</f>
        <v>24.064185203809139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1056908.5791254784</v>
      </c>
      <c r="D103" s="108">
        <f>MIN(F103*(1-C94),E103)</f>
        <v>3.0516628711725544</v>
      </c>
      <c r="E103" s="121">
        <f>PV(C94,D93,0,-F94)</f>
        <v>3.5901916131441816</v>
      </c>
      <c r="F103" s="108">
        <f>(E103+H103)/2</f>
        <v>3.5901916131441816</v>
      </c>
      <c r="H103" s="121">
        <f>PV(C94,D93,0,-I94)</f>
        <v>3.5901916131441816</v>
      </c>
      <c r="I103" s="108">
        <f>PV(C93,D93,0,-I94)</f>
        <v>4.7748296557084844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3174524.5842984896</v>
      </c>
      <c r="D106" s="108">
        <f>(D100+D103)/2</f>
        <v>9.1659572065769552</v>
      </c>
      <c r="E106" s="121">
        <f>(E100+E103)/2</f>
        <v>10.783479066561124</v>
      </c>
      <c r="F106" s="108">
        <f>(F100+F103)/2</f>
        <v>10.783479066561124</v>
      </c>
      <c r="H106" s="121">
        <f>(H100+H103)/2</f>
        <v>10.783479066561124</v>
      </c>
      <c r="I106" s="121">
        <f>(I100+I103)/2</f>
        <v>14.419507429758811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2024-12-18T02:20:27Z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