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8B4CCA-10E7-4EB0-8CB5-EDBE8A03899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47" i="4"/>
  <c r="C49" i="3"/>
  <c r="H56" i="2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6" i="4"/>
  <c r="G27" i="2"/>
  <c r="G56" i="2" s="1"/>
  <c r="F27" i="2"/>
  <c r="F56" i="2" s="1"/>
  <c r="M56" i="2"/>
  <c r="E27" i="2"/>
  <c r="E56" i="2" s="1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<sst xmlns="http://schemas.openxmlformats.org/spreadsheetml/2006/main" count="392" uniqueCount="277">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</sst>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2284983948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867764</v>
      </c>
      <c r="D25" s="147">
        <v>924200</v>
      </c>
      <c r="E25" s="147">
        <v>1198013</v>
      </c>
      <c r="F25" s="147">
        <v>1028541</v>
      </c>
      <c r="G25" s="147">
        <v>699593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341249</v>
      </c>
      <c r="D26" s="148">
        <v>149665</v>
      </c>
      <c r="E26" s="148">
        <v>270763</v>
      </c>
      <c r="F26" s="148">
        <v>398163</v>
      </c>
      <c r="G26" s="148">
        <v>336621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345571</v>
      </c>
      <c r="D27" s="148">
        <v>398159</v>
      </c>
      <c r="E27" s="148">
        <v>356401</v>
      </c>
      <c r="F27" s="148">
        <v>124222</v>
      </c>
      <c r="G27" s="148">
        <v>94347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365801</v>
      </c>
      <c r="D28" s="148">
        <v>351118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8305</v>
      </c>
      <c r="D29" s="148">
        <v>30280</v>
      </c>
      <c r="E29" s="148">
        <v>135144</v>
      </c>
      <c r="F29" s="148">
        <v>140407</v>
      </c>
      <c r="G29" s="148">
        <v>108297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2058</v>
      </c>
      <c r="D30" s="148">
        <v>8397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-252904</v>
      </c>
      <c r="D31" s="148">
        <v>1593322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134473</v>
      </c>
      <c r="D32" s="148">
        <v>105067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134337</v>
      </c>
      <c r="D33" s="148">
        <v>170139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>
        <v>11098580</v>
      </c>
      <c r="E34" s="148">
        <v>11219637</v>
      </c>
      <c r="F34" s="148">
        <v>5753012</v>
      </c>
      <c r="G34" s="148">
        <v>3489602</v>
      </c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1035113</v>
      </c>
      <c r="D37" s="148">
        <v>1937845</v>
      </c>
      <c r="E37" s="148">
        <v>2024596</v>
      </c>
      <c r="F37" s="148">
        <v>9408613</v>
      </c>
      <c r="G37" s="148">
        <v>6338479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>
        <v>29983</v>
      </c>
      <c r="E38" s="148">
        <v>61277</v>
      </c>
      <c r="F38" s="148">
        <v>51229</v>
      </c>
      <c r="G38" s="148">
        <v>23195</v>
      </c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29464</v>
      </c>
      <c r="E39" s="148">
        <v>1195554</v>
      </c>
      <c r="F39" s="148">
        <v>2707794</v>
      </c>
      <c r="G39" s="148">
        <v>1053656</v>
      </c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29983</v>
      </c>
      <c r="E40" s="148">
        <v>61277</v>
      </c>
      <c r="F40" s="148">
        <v>51229</v>
      </c>
      <c r="G40" s="148">
        <v>23195</v>
      </c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8483231</v>
      </c>
      <c r="D41" s="148">
        <v>9956528</v>
      </c>
      <c r="E41" s="148">
        <v>9722107</v>
      </c>
      <c r="F41" s="148">
        <v>-3323489</v>
      </c>
      <c r="G41" s="148">
        <v>-2590443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-3429</v>
      </c>
      <c r="D42" s="148">
        <v>9957299</v>
      </c>
      <c r="E42" s="148">
        <v>9714578</v>
      </c>
      <c r="F42" s="148">
        <v>-3329901</v>
      </c>
      <c r="G42" s="148">
        <v>-2595281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6.2419241167183746E-2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4923071</v>
      </c>
      <c r="D48" s="60">
        <v>0.9</v>
      </c>
      <c r="E48" s="111"/>
    </row>
    <row r="49" spans="2:5" ht="13.9" x14ac:dyDescent="0.4">
      <c r="B49" s="1" t="s">
        <v>129</v>
      </c>
      <c r="C49" s="59">
        <v>163001</v>
      </c>
      <c r="D49" s="60">
        <v>0.8</v>
      </c>
      <c r="E49" s="111"/>
    </row>
    <row r="50" spans="2:5" ht="13.9" x14ac:dyDescent="0.4">
      <c r="B50" s="3" t="s">
        <v>111</v>
      </c>
      <c r="C50" s="59">
        <v>2576350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924658</v>
      </c>
      <c r="D51" s="60">
        <v>0.6</v>
      </c>
      <c r="E51" s="111"/>
    </row>
    <row r="52" spans="2:5" ht="13.9" x14ac:dyDescent="0.4">
      <c r="B52" s="3" t="s">
        <v>39</v>
      </c>
      <c r="C52" s="59">
        <v>43659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241</v>
      </c>
      <c r="C54" s="59">
        <v>17580</v>
      </c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v>98517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240</v>
      </c>
      <c r="C64" s="59">
        <v>28511</v>
      </c>
      <c r="D64" s="60">
        <v>0.4</v>
      </c>
      <c r="E64" s="111"/>
    </row>
    <row r="65" spans="2:5" ht="13.9" x14ac:dyDescent="0.4">
      <c r="B65" s="3" t="s">
        <v>65</v>
      </c>
      <c r="C65" s="59">
        <v>232091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116537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306071</v>
      </c>
      <c r="D70" s="60">
        <v>0.05</v>
      </c>
      <c r="E70" s="111"/>
    </row>
    <row r="71" spans="2:5" ht="13.9" x14ac:dyDescent="0.4">
      <c r="B71" s="3" t="s">
        <v>70</v>
      </c>
      <c r="C71" s="59">
        <v>88298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>
        <v>270468</v>
      </c>
    </row>
    <row r="74" spans="2:5" ht="13.9" x14ac:dyDescent="0.4">
      <c r="B74" s="3" t="s">
        <v>35</v>
      </c>
      <c r="C74" s="59">
        <v>18682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959583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74975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>
        <v>75530</v>
      </c>
    </row>
    <row r="83" spans="2:8" ht="14.25" hidden="1" thickTop="1" x14ac:dyDescent="0.4">
      <c r="B83" s="73" t="s">
        <v>263</v>
      </c>
      <c r="C83" s="212">
        <v>8486660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867764</v>
      </c>
      <c r="D91" s="204"/>
      <c r="E91" s="246">
        <f>C91</f>
        <v>867764</v>
      </c>
      <c r="F91" s="246">
        <f>C91</f>
        <v>867764</v>
      </c>
    </row>
    <row r="92" spans="2:8" ht="13.9" x14ac:dyDescent="0.4">
      <c r="B92" s="103" t="s">
        <v>101</v>
      </c>
      <c r="C92" s="77">
        <f>C26</f>
        <v>341249</v>
      </c>
      <c r="D92" s="156">
        <f>C92/C91</f>
        <v>0.39325092997635303</v>
      </c>
      <c r="E92" s="247">
        <f>E91*D92</f>
        <v>341249</v>
      </c>
      <c r="F92" s="247">
        <f>F91*D92</f>
        <v>341249</v>
      </c>
    </row>
    <row r="93" spans="2:8" ht="13.9" x14ac:dyDescent="0.4">
      <c r="B93" s="103" t="s">
        <v>229</v>
      </c>
      <c r="C93" s="77">
        <f>C27+C28</f>
        <v>711372</v>
      </c>
      <c r="D93" s="156">
        <f>C93/C91</f>
        <v>0.81977588376563215</v>
      </c>
      <c r="E93" s="247">
        <f>E91*D93</f>
        <v>711372</v>
      </c>
      <c r="F93" s="247">
        <f>F91*D93</f>
        <v>711372</v>
      </c>
    </row>
    <row r="94" spans="2:8" ht="13.9" x14ac:dyDescent="0.4">
      <c r="B94" s="103" t="s">
        <v>236</v>
      </c>
      <c r="C94" s="77">
        <f>C29</f>
        <v>8305</v>
      </c>
      <c r="D94" s="156">
        <f>C94/C91</f>
        <v>9.5705744879944314E-3</v>
      </c>
      <c r="E94" s="248"/>
      <c r="F94" s="247">
        <f>F91*D94</f>
        <v>8305</v>
      </c>
    </row>
    <row r="95" spans="2:8" ht="13.9" x14ac:dyDescent="0.4">
      <c r="B95" s="28" t="s">
        <v>228</v>
      </c>
      <c r="C95" s="77">
        <f>ABS(MAX(C33,0)-C32)</f>
        <v>136</v>
      </c>
      <c r="D95" s="156">
        <f>C95/C91</f>
        <v>1.5672463941809065E-4</v>
      </c>
      <c r="E95" s="247">
        <f>E91*D95</f>
        <v>136</v>
      </c>
      <c r="F95" s="247">
        <f>F91*D95</f>
        <v>136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2744</v>
      </c>
      <c r="D97" s="156">
        <f>C97/C91</f>
        <v>3.1621500776708874E-3</v>
      </c>
      <c r="E97" s="248"/>
      <c r="F97" s="247">
        <f>F91*D97</f>
        <v>2744</v>
      </c>
    </row>
    <row r="98" spans="2:7" ht="13.9" x14ac:dyDescent="0.4">
      <c r="B98" s="85" t="s">
        <v>192</v>
      </c>
      <c r="C98" s="232">
        <f>C44</f>
        <v>0.1</v>
      </c>
      <c r="D98" s="261"/>
      <c r="E98" s="249">
        <f>F98</f>
        <v>0.1</v>
      </c>
      <c r="F98" s="249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9959.HK</v>
      </c>
      <c r="D3" s="291"/>
      <c r="E3" s="86"/>
      <c r="F3" s="3" t="s">
        <v>1</v>
      </c>
      <c r="G3" s="130">
        <v>1.71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聯易融科技－Ｗ</v>
      </c>
      <c r="D4" s="293"/>
      <c r="E4" s="86"/>
      <c r="F4" s="3" t="s">
        <v>2</v>
      </c>
      <c r="G4" s="296">
        <f>Inputs!C10</f>
        <v>2284983948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3907.3225510799998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C0008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C21*C22*C23</f>
        <v>-2.2105398354594158E-2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-0.21618896381965605</v>
      </c>
      <c r="F21" s="86"/>
      <c r="G21" s="29"/>
    </row>
    <row r="22" spans="1:8" ht="15.75" customHeight="1" x14ac:dyDescent="0.4">
      <c r="B22" s="273" t="s">
        <v>260</v>
      </c>
      <c r="C22" s="274">
        <f>Data!C48</f>
        <v>9.1167539227411831E-2</v>
      </c>
      <c r="F22" s="140" t="s">
        <v>170</v>
      </c>
    </row>
    <row r="23" spans="1:8" ht="15.75" customHeight="1" thickBot="1" x14ac:dyDescent="0.45">
      <c r="B23" s="275" t="s">
        <v>266</v>
      </c>
      <c r="C23" s="282">
        <f>1/Data!C53</f>
        <v>1.1215653743640019</v>
      </c>
      <c r="F23" s="138" t="s">
        <v>174</v>
      </c>
      <c r="G23" s="174">
        <f>G3/(Data!C34*Data!C4/Common_Shares*Exchange_Rate)</f>
        <v>0.43152243105453292</v>
      </c>
    </row>
    <row r="24" spans="1:8" ht="15.75" customHeight="1" x14ac:dyDescent="0.4">
      <c r="B24" s="280" t="s">
        <v>254</v>
      </c>
      <c r="C24" s="281">
        <f>Fin_Analysis!I81</f>
        <v>9.5705744879944314E-3</v>
      </c>
      <c r="F24" s="138" t="s">
        <v>238</v>
      </c>
      <c r="G24" s="263">
        <f>G3/(Fin_Analysis!H86*G7)</f>
        <v>-24.897416297304837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-1.5540778323012416</v>
      </c>
    </row>
    <row r="26" spans="1:8" ht="15.75" customHeight="1" x14ac:dyDescent="0.4">
      <c r="B26" s="136" t="s">
        <v>256</v>
      </c>
      <c r="C26" s="168">
        <f>Fin_Analysis!I80+Fin_Analysis!I82</f>
        <v>1.5672463941809065E-4</v>
      </c>
      <c r="F26" s="139" t="s">
        <v>178</v>
      </c>
      <c r="G26" s="175">
        <f>Fin_Analysis!H88*Exchange_Rate/G3</f>
        <v>6.2419241167183746E-2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0.92159067923368776</v>
      </c>
      <c r="D29" s="127">
        <f>G29*(1+G20)</f>
        <v>1.6582776325910296</v>
      </c>
      <c r="E29" s="86"/>
      <c r="F29" s="129">
        <f>IF(Fin_Analysis!C108="Profit",Fin_Analysis!F100,IF(Fin_Analysis!C108="Dividend",Fin_Analysis!F103,Fin_Analysis!F106))</f>
        <v>1.0842243285102209</v>
      </c>
      <c r="G29" s="287">
        <f>IF(Fin_Analysis!C108="Profit",Fin_Analysis!I100,IF(Fin_Analysis!C108="Dividend",Fin_Analysis!I103,Fin_Analysis!I106))</f>
        <v>1.4419805500791563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disagree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disagree</v>
      </c>
    </row>
    <row r="37" spans="1:3" ht="15.75" customHeight="1" x14ac:dyDescent="0.4">
      <c r="A37"/>
      <c r="B37" s="20" t="s">
        <v>223</v>
      </c>
      <c r="C37" s="240" t="str">
        <f>Inputs!C19</f>
        <v>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-187601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867764</v>
      </c>
      <c r="D6" s="197">
        <f>IF(Inputs!D25="","",Inputs!D25)</f>
        <v>924200</v>
      </c>
      <c r="E6" s="197">
        <f>IF(Inputs!E25="","",Inputs!E25)</f>
        <v>1198013</v>
      </c>
      <c r="F6" s="197">
        <f>IF(Inputs!F25="","",Inputs!F25)</f>
        <v>1028541</v>
      </c>
      <c r="G6" s="197">
        <f>IF(Inputs!G25="","",Inputs!G25)</f>
        <v>699593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-6.1064704609391951E-2</v>
      </c>
      <c r="D7" s="91">
        <f t="shared" si="1"/>
        <v>-0.22855595056147138</v>
      </c>
      <c r="E7" s="91">
        <f t="shared" si="1"/>
        <v>0.16476931887012758</v>
      </c>
      <c r="F7" s="91">
        <f t="shared" si="1"/>
        <v>0.47019910147757349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341249</v>
      </c>
      <c r="D8" s="196">
        <f>IF(Inputs!D26="","",Inputs!D26)</f>
        <v>149665</v>
      </c>
      <c r="E8" s="196">
        <f>IF(Inputs!E26="","",Inputs!E26)</f>
        <v>270763</v>
      </c>
      <c r="F8" s="196">
        <f>IF(Inputs!F26="","",Inputs!F26)</f>
        <v>398163</v>
      </c>
      <c r="G8" s="196">
        <f>IF(Inputs!G26="","",Inputs!G26)</f>
        <v>336621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526515</v>
      </c>
      <c r="D9" s="149">
        <f t="shared" si="2"/>
        <v>774535</v>
      </c>
      <c r="E9" s="149">
        <f t="shared" si="2"/>
        <v>927250</v>
      </c>
      <c r="F9" s="149">
        <f t="shared" si="2"/>
        <v>630378</v>
      </c>
      <c r="G9" s="149">
        <f t="shared" si="2"/>
        <v>362972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345571</v>
      </c>
      <c r="D10" s="196">
        <f>IF(Inputs!D27="","",Inputs!D27)</f>
        <v>398159</v>
      </c>
      <c r="E10" s="196">
        <f>IF(Inputs!E27="","",Inputs!E27)</f>
        <v>356401</v>
      </c>
      <c r="F10" s="196">
        <f>IF(Inputs!F27="","",Inputs!F27)</f>
        <v>124222</v>
      </c>
      <c r="G10" s="196">
        <f>IF(Inputs!G27="","",Inputs!G27)</f>
        <v>94347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365801</v>
      </c>
      <c r="D11" s="196">
        <f>IF(Inputs!D28="","",Inputs!D28)</f>
        <v>351118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2744</v>
      </c>
      <c r="D12" s="196">
        <f>IF(Inputs!D30="","",MAX(Inputs!D30,0)/(1-Fin_Analysis!$I$84))</f>
        <v>11196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-0.21618896381965605</v>
      </c>
      <c r="D13" s="224">
        <f t="shared" si="3"/>
        <v>1.52153213590132E-2</v>
      </c>
      <c r="E13" s="224">
        <f t="shared" si="3"/>
        <v>0.47649649878590633</v>
      </c>
      <c r="F13" s="224">
        <f t="shared" si="3"/>
        <v>0.49211066938508041</v>
      </c>
      <c r="G13" s="224">
        <f t="shared" si="3"/>
        <v>0.38397325301997021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-187601</v>
      </c>
      <c r="D14" s="225">
        <f t="shared" ref="D14:M14" si="4">IF(D6="","",D9-D10-MAX(D11,0)-MAX(D12,0))</f>
        <v>14062</v>
      </c>
      <c r="E14" s="225">
        <f t="shared" si="4"/>
        <v>570849</v>
      </c>
      <c r="F14" s="225">
        <f t="shared" si="4"/>
        <v>506156</v>
      </c>
      <c r="G14" s="225">
        <f t="shared" si="4"/>
        <v>268625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 t="str">
        <f>IF(D14="","",IF(ABS(C14+D14)=ABS(C14)+ABS(D14),IF(C14&lt;0,-1,1)*(C14-D14)/D14,"Turn"))</f>
        <v>Turn</v>
      </c>
      <c r="D15" s="227">
        <f t="shared" ref="D15:M15" si="5">IF(E14="","",IF(ABS(D14+E14)=ABS(D14)+ABS(E14),IF(D14&lt;0,-1,1)*(D14-E14)/E14,"Turn"))</f>
        <v>-0.97536651548833408</v>
      </c>
      <c r="E15" s="227">
        <f t="shared" si="5"/>
        <v>0.12781237405068793</v>
      </c>
      <c r="F15" s="227">
        <f t="shared" si="5"/>
        <v>0.8842475570032573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-252904</v>
      </c>
      <c r="D16" s="196">
        <f>IF(Inputs!D31="","",Inputs!D31)</f>
        <v>1593322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8305</v>
      </c>
      <c r="D17" s="196">
        <f>IF(Inputs!D29="","",Inputs!D29)</f>
        <v>30280</v>
      </c>
      <c r="E17" s="196">
        <f>IF(Inputs!E29="","",Inputs!E29)</f>
        <v>135144</v>
      </c>
      <c r="F17" s="196">
        <f>IF(Inputs!F29="","",Inputs!F29)</f>
        <v>140407</v>
      </c>
      <c r="G17" s="196">
        <f>IF(Inputs!G29="","",Inputs!G29)</f>
        <v>108297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0.15496494438580075</v>
      </c>
      <c r="D18" s="150">
        <f t="shared" si="6"/>
        <v>0.11368426747457261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134473</v>
      </c>
      <c r="D19" s="196">
        <f>IF(Inputs!D32="","",Inputs!D32)</f>
        <v>105067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0.15480821974638265</v>
      </c>
      <c r="D20" s="150">
        <f t="shared" si="7"/>
        <v>0.18409326985500973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134337</v>
      </c>
      <c r="D21" s="196">
        <f>IF(Inputs!D33="","",Inputs!D33)</f>
        <v>170139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-196042</v>
      </c>
      <c r="D22" s="158">
        <f t="shared" ref="D22:M22" si="8">IF(D6="","",D14-MAX(D16,0)-MAX(D17,0)-ABS(MAX(D21,0)-MAX(D19,0)))</f>
        <v>-1674612</v>
      </c>
      <c r="E22" s="158">
        <f t="shared" si="8"/>
        <v>435705</v>
      </c>
      <c r="F22" s="158">
        <f t="shared" si="8"/>
        <v>365749</v>
      </c>
      <c r="G22" s="158">
        <f t="shared" si="8"/>
        <v>160328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-0.16943719721030143</v>
      </c>
      <c r="D23" s="151">
        <f t="shared" si="9"/>
        <v>-1.3589688379138714</v>
      </c>
      <c r="E23" s="151">
        <f t="shared" si="9"/>
        <v>0.27276728215804003</v>
      </c>
      <c r="F23" s="151">
        <f t="shared" si="9"/>
        <v>0.26669986903779236</v>
      </c>
      <c r="G23" s="151">
        <f t="shared" si="9"/>
        <v>0.17187993590559081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0.88293288236319811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0.19126778200350514</v>
      </c>
      <c r="F25" s="228">
        <f t="shared" si="10"/>
        <v>1.281254677910284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9518344</v>
      </c>
      <c r="D27" s="65">
        <f>IF(D34="","",D34+D30)</f>
        <v>11894373</v>
      </c>
      <c r="E27" s="65">
        <f t="shared" ref="E27:M27" si="20">IF(E34="","",E34+E30)</f>
        <v>11746703</v>
      </c>
      <c r="F27" s="65">
        <f t="shared" si="20"/>
        <v>6085124</v>
      </c>
      <c r="G27" s="65">
        <f t="shared" si="20"/>
        <v>3748036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2576350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1035113</v>
      </c>
      <c r="D30" s="196">
        <f>IF(Inputs!D37="","",Inputs!D37)</f>
        <v>1937845</v>
      </c>
      <c r="E30" s="196">
        <f>IF(Inputs!E37="","",Inputs!E37)</f>
        <v>2024596</v>
      </c>
      <c r="F30" s="196">
        <f>IF(Inputs!F37="","",Inputs!F37)</f>
        <v>9408613</v>
      </c>
      <c r="G30" s="196">
        <f>IF(Inputs!G37="","",Inputs!G37)</f>
        <v>6338479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289150</v>
      </c>
      <c r="D31" s="196">
        <f>IF(Inputs!D39="","",Inputs!D39)</f>
        <v>29464</v>
      </c>
      <c r="E31" s="196">
        <f>IF(Inputs!E39="","",Inputs!E39)</f>
        <v>1195554</v>
      </c>
      <c r="F31" s="196">
        <f>IF(Inputs!F39="","",Inputs!F39)</f>
        <v>2707794</v>
      </c>
      <c r="G31" s="196">
        <f>IF(Inputs!G39="","",Inputs!G39)</f>
        <v>1053656</v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74975</v>
      </c>
      <c r="D32" s="196">
        <f>IF(Inputs!D40="","",Inputs!D40)</f>
        <v>29983</v>
      </c>
      <c r="E32" s="196">
        <f>IF(Inputs!E40="","",Inputs!E40)</f>
        <v>61277</v>
      </c>
      <c r="F32" s="196">
        <f>IF(Inputs!F40="","",Inputs!F40)</f>
        <v>51229</v>
      </c>
      <c r="G32" s="196">
        <f>IF(Inputs!G40="","",Inputs!G40)</f>
        <v>23195</v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364125</v>
      </c>
      <c r="D33" s="77">
        <f t="shared" ref="D33" si="22">IF(OR(D31="",D32=""),"",D31+D32)</f>
        <v>59447</v>
      </c>
      <c r="E33" s="77">
        <f t="shared" ref="E33" si="23">IF(OR(E31="",E32=""),"",E31+E32)</f>
        <v>1256831</v>
      </c>
      <c r="F33" s="77">
        <f t="shared" ref="F33" si="24">IF(OR(F31="",F32=""),"",F31+F32)</f>
        <v>2759023</v>
      </c>
      <c r="G33" s="77">
        <f t="shared" ref="G33" si="25">IF(OR(G31="",G32=""),"",G31+G32)</f>
        <v>1076851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8483231</v>
      </c>
      <c r="D34" s="196">
        <f>IF(Inputs!D41="","",Inputs!D41)</f>
        <v>9956528</v>
      </c>
      <c r="E34" s="196">
        <f>IF(Inputs!E41="","",Inputs!E41)</f>
        <v>9722107</v>
      </c>
      <c r="F34" s="196">
        <f>IF(Inputs!F41="","",Inputs!F41)</f>
        <v>-3323489</v>
      </c>
      <c r="G34" s="196">
        <f>IF(Inputs!G41="","",Inputs!G41)</f>
        <v>-2590443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-3429</v>
      </c>
      <c r="D35" s="196">
        <f>IF(Inputs!D42="","",Inputs!D42)</f>
        <v>9957299</v>
      </c>
      <c r="E35" s="196">
        <f>IF(Inputs!E42="","",Inputs!E42)</f>
        <v>9714578</v>
      </c>
      <c r="F35" s="196">
        <f>IF(Inputs!F42="","",Inputs!F42)</f>
        <v>-3329901</v>
      </c>
      <c r="G35" s="196">
        <f>IF(Inputs!G42="","",Inputs!G42)</f>
        <v>-2595281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3296348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-5.69117702378511E-2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0.39325092997635303</v>
      </c>
      <c r="D40" s="154">
        <f t="shared" si="34"/>
        <v>0.16194005626487773</v>
      </c>
      <c r="E40" s="154">
        <f t="shared" si="34"/>
        <v>0.22601006833815659</v>
      </c>
      <c r="F40" s="154">
        <f t="shared" si="34"/>
        <v>0.38711436880007699</v>
      </c>
      <c r="G40" s="154">
        <f t="shared" si="34"/>
        <v>0.48116690704452447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0.81977588376563215</v>
      </c>
      <c r="D41" s="151">
        <f t="shared" si="35"/>
        <v>0.81073036139363774</v>
      </c>
      <c r="E41" s="151">
        <f t="shared" si="35"/>
        <v>0.29749343287593705</v>
      </c>
      <c r="F41" s="151">
        <f t="shared" si="35"/>
        <v>0.12077496181484258</v>
      </c>
      <c r="G41" s="151">
        <f t="shared" si="35"/>
        <v>0.13485983993550535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1.7240012984202553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9.5705744879944314E-3</v>
      </c>
      <c r="D43" s="151">
        <f t="shared" si="37"/>
        <v>3.2763471110149316E-2</v>
      </c>
      <c r="E43" s="151">
        <f t="shared" si="37"/>
        <v>0.11280678924185297</v>
      </c>
      <c r="F43" s="151">
        <f t="shared" si="37"/>
        <v>0.13651084400135727</v>
      </c>
      <c r="G43" s="151">
        <f t="shared" si="37"/>
        <v>0.15480000514584907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3.1621500776708874E-3</v>
      </c>
      <c r="D44" s="151">
        <f t="shared" si="38"/>
        <v>1.2114260982471326E-2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1.5672463941809065E-4</v>
      </c>
      <c r="D45" s="151">
        <f t="shared" si="39"/>
        <v>7.0409002380437138E-2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-0.22591626294706857</v>
      </c>
      <c r="D46" s="151">
        <f t="shared" si="40"/>
        <v>-1.8119584505518287</v>
      </c>
      <c r="E46" s="151">
        <f t="shared" si="40"/>
        <v>0.36368970954405339</v>
      </c>
      <c r="F46" s="151">
        <f t="shared" si="40"/>
        <v>0.35559982538372314</v>
      </c>
      <c r="G46" s="151">
        <f t="shared" si="40"/>
        <v>0.22917324787412111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9.1167539227411831E-2</v>
      </c>
      <c r="D48" s="267">
        <f t="shared" si="41"/>
        <v>7.7700606833163877E-2</v>
      </c>
      <c r="E48" s="267">
        <f t="shared" si="41"/>
        <v>0.10198717035750372</v>
      </c>
      <c r="F48" s="267">
        <f t="shared" si="41"/>
        <v>0.16902547918497635</v>
      </c>
      <c r="G48" s="267">
        <f t="shared" si="41"/>
        <v>0.1866558912454416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2.9689523879764543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4.4812531008576082</v>
      </c>
      <c r="D51" s="151">
        <f t="shared" si="44"/>
        <v>-5.819015167285702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0.891610977707887</v>
      </c>
      <c r="D53" s="154">
        <f t="shared" si="45"/>
        <v>-6.4820566834418263E-5</v>
      </c>
      <c r="E53" s="154">
        <f t="shared" si="45"/>
        <v>6.4094580411201338E-4</v>
      </c>
      <c r="F53" s="154">
        <f t="shared" si="45"/>
        <v>1.0537172290983718E-3</v>
      </c>
      <c r="G53" s="154">
        <f t="shared" si="45"/>
        <v>1.2908093732290726E-3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-0.53839203570202543</v>
      </c>
      <c r="D54" s="155">
        <f t="shared" si="46"/>
        <v>-28.169831951149764</v>
      </c>
      <c r="E54" s="155">
        <f t="shared" si="46"/>
        <v>0.34666952040489135</v>
      </c>
      <c r="F54" s="155">
        <f t="shared" si="46"/>
        <v>0.13256467959853904</v>
      </c>
      <c r="G54" s="155">
        <f t="shared" si="46"/>
        <v>0.1488859647249248</v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-4.2363371114353045E-2</v>
      </c>
      <c r="D55" s="151">
        <f t="shared" si="47"/>
        <v>-1.8081800440937962E-2</v>
      </c>
      <c r="E55" s="151">
        <f t="shared" si="47"/>
        <v>0.31017316762488378</v>
      </c>
      <c r="F55" s="151">
        <f t="shared" si="47"/>
        <v>0.38388895116596355</v>
      </c>
      <c r="G55" s="151">
        <f t="shared" si="47"/>
        <v>0.67547153335661891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2.5207717968824418E-3</v>
      </c>
      <c r="E56" s="151">
        <f>IF(E34="","",IF(Inputs!E38=0,0,Inputs!E38/E27))</f>
        <v>5.2165275652240467E-3</v>
      </c>
      <c r="F56" s="151">
        <f>IF(F34="","",IF(Inputs!F38=0,0,Inputs!F38/F27))</f>
        <v>8.4187273751529131E-3</v>
      </c>
      <c r="G56" s="151">
        <f>IF(G34="","",IF(Inputs!G38=0,0,Inputs!G38/G27))</f>
        <v>6.1885744960827483E-3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-2.2105398354594151E-2</v>
      </c>
      <c r="D58" s="269">
        <f t="shared" si="49"/>
        <v>-18.238651102464331</v>
      </c>
      <c r="E58" s="269">
        <f t="shared" si="49"/>
        <v>75.82002922034799</v>
      </c>
      <c r="F58" s="269">
        <f t="shared" si="49"/>
        <v>78.938864628820966</v>
      </c>
      <c r="G58" s="269">
        <f t="shared" si="49"/>
        <v>55.523976849937988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-2.3100018146125802E-2</v>
      </c>
      <c r="D59" s="269">
        <f t="shared" si="50"/>
        <v>2172</v>
      </c>
      <c r="E59" s="269">
        <f t="shared" si="50"/>
        <v>57.870235090981538</v>
      </c>
      <c r="F59" s="269">
        <f t="shared" si="50"/>
        <v>57.04132875857767</v>
      </c>
      <c r="G59" s="269">
        <f t="shared" si="50"/>
        <v>33.139313766019015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8483231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8486660</v>
      </c>
      <c r="K3" s="24"/>
    </row>
    <row r="4" spans="1:11" ht="15" customHeight="1" x14ac:dyDescent="0.4">
      <c r="B4" s="3" t="s">
        <v>22</v>
      </c>
      <c r="C4" s="86"/>
      <c r="D4" s="196">
        <f>Inputs!C42</f>
        <v>-3429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5850393.1500000004</v>
      </c>
      <c r="E6" s="56">
        <f>1-D6/D3</f>
        <v>0.31035791080073138</v>
      </c>
      <c r="F6" s="86"/>
      <c r="G6" s="86"/>
      <c r="H6" s="1" t="s">
        <v>25</v>
      </c>
      <c r="I6" s="63">
        <f>(C24+C25)/I28</f>
        <v>9.0125804646393277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2.7328543956541598</v>
      </c>
      <c r="E7" s="11" t="str">
        <f>Dashboard!H3</f>
        <v>HKD</v>
      </c>
      <c r="H7" s="1" t="s">
        <v>26</v>
      </c>
      <c r="I7" s="63">
        <f>C24/I28</f>
        <v>8.9487621185452433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4923071</v>
      </c>
      <c r="D11" s="195">
        <f>Inputs!D48</f>
        <v>0.9</v>
      </c>
      <c r="E11" s="87">
        <f t="shared" ref="E11:E22" si="0">C11*D11</f>
        <v>4430763.9000000004</v>
      </c>
      <c r="F11" s="111"/>
      <c r="G11" s="86"/>
      <c r="H11" s="3" t="s">
        <v>34</v>
      </c>
      <c r="I11" s="40">
        <f>Inputs!C73</f>
        <v>270468</v>
      </c>
      <c r="J11" s="86"/>
      <c r="K11" s="24"/>
    </row>
    <row r="12" spans="1:11" ht="13.9" x14ac:dyDescent="0.4">
      <c r="B12" s="1" t="s">
        <v>129</v>
      </c>
      <c r="C12" s="40">
        <f>Inputs!C49</f>
        <v>163001</v>
      </c>
      <c r="D12" s="195">
        <f>Inputs!D49</f>
        <v>0.8</v>
      </c>
      <c r="E12" s="87">
        <f t="shared" si="0"/>
        <v>130400.8</v>
      </c>
      <c r="F12" s="111"/>
      <c r="G12" s="86"/>
      <c r="H12" s="3" t="s">
        <v>35</v>
      </c>
      <c r="I12" s="40">
        <f>Inputs!C74</f>
        <v>18682</v>
      </c>
      <c r="J12" s="86"/>
      <c r="K12" s="24"/>
    </row>
    <row r="13" spans="1:11" ht="13.9" x14ac:dyDescent="0.4">
      <c r="B13" s="3" t="s">
        <v>111</v>
      </c>
      <c r="C13" s="40">
        <f>Inputs!C50</f>
        <v>2576350</v>
      </c>
      <c r="D13" s="195">
        <f>Inputs!D50</f>
        <v>0.6</v>
      </c>
      <c r="E13" s="87">
        <f t="shared" si="0"/>
        <v>1545810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924658</v>
      </c>
      <c r="D14" s="195">
        <f>Inputs!D51</f>
        <v>0.6</v>
      </c>
      <c r="E14" s="87">
        <f t="shared" si="0"/>
        <v>554794.79999999993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43659</v>
      </c>
      <c r="D15" s="195">
        <f>Inputs!D52</f>
        <v>0.5</v>
      </c>
      <c r="E15" s="87">
        <f t="shared" si="0"/>
        <v>21829.5</v>
      </c>
      <c r="F15" s="111"/>
      <c r="G15" s="86"/>
      <c r="H15" s="1" t="s">
        <v>49</v>
      </c>
      <c r="I15" s="83">
        <f>SUM(I11:I14)</f>
        <v>289150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17580</v>
      </c>
      <c r="D17" s="195">
        <f>Inputs!D54</f>
        <v>0.1</v>
      </c>
      <c r="E17" s="87">
        <f t="shared" si="0"/>
        <v>1758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670433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8587080</v>
      </c>
      <c r="D24" s="62">
        <f>IF(E24=0,0,E24/C24)</f>
        <v>0.77578984940165918</v>
      </c>
      <c r="E24" s="87">
        <f>SUM(E11:E14)</f>
        <v>6661769.5</v>
      </c>
      <c r="F24" s="112">
        <f>E24/$E$28</f>
        <v>0.99647176657880798</v>
      </c>
      <c r="G24" s="86"/>
    </row>
    <row r="25" spans="2:10" ht="15" customHeight="1" x14ac:dyDescent="0.4">
      <c r="B25" s="23" t="s">
        <v>50</v>
      </c>
      <c r="C25" s="61">
        <f>SUM(C15:C17)</f>
        <v>61239</v>
      </c>
      <c r="D25" s="62">
        <f>IF(E25=0,0,E25/C25)</f>
        <v>0.38517121442218194</v>
      </c>
      <c r="E25" s="87">
        <f>SUM(E15:E17)</f>
        <v>23587.5</v>
      </c>
      <c r="F25" s="112">
        <f>E25/$E$28</f>
        <v>3.528233421192017E-3</v>
      </c>
      <c r="G25" s="86"/>
      <c r="H25" s="23" t="s">
        <v>51</v>
      </c>
      <c r="I25" s="63">
        <f>E28/I28</f>
        <v>6.9669398061449606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1"/>
      <c r="G28" s="86"/>
      <c r="H28" s="78" t="s">
        <v>15</v>
      </c>
      <c r="I28" s="202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98517</v>
      </c>
      <c r="D31" s="195">
        <f>Inputs!D61</f>
        <v>0.6</v>
      </c>
      <c r="E31" s="87">
        <f t="shared" ref="E31:E42" si="1">C31*D31</f>
        <v>59110.2</v>
      </c>
      <c r="F31" s="111"/>
      <c r="G31" s="86"/>
      <c r="H31" s="3" t="s">
        <v>59</v>
      </c>
      <c r="I31" s="40">
        <f>Inputs!C79</f>
        <v>74975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28511</v>
      </c>
      <c r="D34" s="195">
        <f>Inputs!D64</f>
        <v>0.4</v>
      </c>
      <c r="E34" s="87">
        <f t="shared" si="1"/>
        <v>11404.400000000001</v>
      </c>
      <c r="F34" s="111"/>
      <c r="G34" s="86"/>
      <c r="H34" s="1" t="s">
        <v>73</v>
      </c>
      <c r="I34" s="83">
        <f>SUM(I30:I33)</f>
        <v>74975</v>
      </c>
      <c r="J34" s="86"/>
    </row>
    <row r="35" spans="2:10" ht="13.9" x14ac:dyDescent="0.4">
      <c r="B35" s="3" t="s">
        <v>65</v>
      </c>
      <c r="C35" s="40">
        <f>Inputs!C65</f>
        <v>232091</v>
      </c>
      <c r="D35" s="195">
        <f>Inputs!D65</f>
        <v>0.1</v>
      </c>
      <c r="E35" s="87">
        <f t="shared" si="1"/>
        <v>23209.100000000002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116537</v>
      </c>
      <c r="D38" s="195">
        <f>Inputs!D68</f>
        <v>0.1</v>
      </c>
      <c r="E38" s="87">
        <f t="shared" si="1"/>
        <v>11653.7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306071</v>
      </c>
      <c r="D40" s="195">
        <f>Inputs!D70</f>
        <v>0.05</v>
      </c>
      <c r="E40" s="87">
        <f t="shared" si="1"/>
        <v>15303.550000000001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88298</v>
      </c>
      <c r="D41" s="195">
        <f>Inputs!D71</f>
        <v>0.9</v>
      </c>
      <c r="E41" s="87">
        <f t="shared" si="1"/>
        <v>79468.2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555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98517</v>
      </c>
      <c r="D44" s="62">
        <f>IF(E44=0,0,E44/C44)</f>
        <v>0.6</v>
      </c>
      <c r="E44" s="87">
        <f>SUM(E30:E31)</f>
        <v>59110.2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260602</v>
      </c>
      <c r="D45" s="62">
        <f>IF(E45=0,0,E45/C45)</f>
        <v>0.13282131372744646</v>
      </c>
      <c r="E45" s="87">
        <f>SUM(E32:E35)</f>
        <v>34613.5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116537</v>
      </c>
      <c r="D46" s="62">
        <f>IF(E46=0,0,E46/C46)</f>
        <v>0.1</v>
      </c>
      <c r="E46" s="87">
        <f>E36+E37+E38+E39</f>
        <v>11653.7</v>
      </c>
      <c r="F46" s="86"/>
      <c r="G46" s="86"/>
      <c r="H46" s="23" t="s">
        <v>76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394369</v>
      </c>
      <c r="D47" s="62">
        <f>IF(E47=0,0,E47/C47)</f>
        <v>0.24031237242278172</v>
      </c>
      <c r="E47" s="87">
        <f>E40+E41+E42</f>
        <v>94771.75</v>
      </c>
      <c r="F47" s="86"/>
      <c r="G47" s="86"/>
      <c r="H47" s="23" t="s">
        <v>78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870025</v>
      </c>
      <c r="D48" s="81">
        <f>E48/C48</f>
        <v>0.23004988362403381</v>
      </c>
      <c r="E48" s="76">
        <f>SUM(E30:E42)</f>
        <v>200149.15000000002</v>
      </c>
      <c r="F48" s="86"/>
      <c r="G48" s="86"/>
      <c r="H48" s="80" t="s">
        <v>80</v>
      </c>
      <c r="I48" s="277">
        <f>I49-I28</f>
        <v>75530</v>
      </c>
      <c r="J48" s="8"/>
    </row>
    <row r="49" spans="2:11" ht="15" customHeight="1" thickTop="1" x14ac:dyDescent="0.4">
      <c r="B49" s="3" t="s">
        <v>13</v>
      </c>
      <c r="C49" s="61">
        <f>Inputs!C41+Inputs!C37</f>
        <v>9518344</v>
      </c>
      <c r="D49" s="56">
        <f>E49/C49</f>
        <v>0.72339328668936531</v>
      </c>
      <c r="E49" s="87">
        <f>E28+E48</f>
        <v>6885506.1500000004</v>
      </c>
      <c r="F49" s="86"/>
      <c r="G49" s="86"/>
      <c r="H49" s="3" t="s">
        <v>81</v>
      </c>
      <c r="I49" s="40">
        <f>Inputs!C37</f>
        <v>1035113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364125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4923071</v>
      </c>
      <c r="D62" s="106">
        <f t="shared" si="2"/>
        <v>0.9</v>
      </c>
      <c r="E62" s="116">
        <f>E11+E30</f>
        <v>4430763.9000000004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364125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670988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867764</v>
      </c>
      <c r="D74" s="204"/>
      <c r="E74" s="233">
        <f>Inputs!E91</f>
        <v>867764</v>
      </c>
      <c r="F74" s="204"/>
      <c r="H74" s="233">
        <f>Inputs!F91</f>
        <v>867764</v>
      </c>
      <c r="I74" s="204"/>
      <c r="K74" s="24"/>
    </row>
    <row r="75" spans="1:11" ht="15" customHeight="1" x14ac:dyDescent="0.4">
      <c r="B75" s="103" t="s">
        <v>101</v>
      </c>
      <c r="C75" s="77">
        <f>Data!C8</f>
        <v>341249</v>
      </c>
      <c r="D75" s="156">
        <f>C75/$C$74</f>
        <v>0.39325092997635303</v>
      </c>
      <c r="E75" s="233">
        <f>Inputs!E92</f>
        <v>341249</v>
      </c>
      <c r="F75" s="157">
        <f>E75/E74</f>
        <v>0.39325092997635303</v>
      </c>
      <c r="H75" s="233">
        <f>Inputs!F92</f>
        <v>341249</v>
      </c>
      <c r="I75" s="157">
        <f>H75/$H$74</f>
        <v>0.39325092997635303</v>
      </c>
      <c r="K75" s="24"/>
    </row>
    <row r="76" spans="1:11" ht="15" customHeight="1" x14ac:dyDescent="0.4">
      <c r="B76" s="35" t="s">
        <v>91</v>
      </c>
      <c r="C76" s="158">
        <f>C74-C75</f>
        <v>526515</v>
      </c>
      <c r="D76" s="205"/>
      <c r="E76" s="159">
        <f>E74-E75</f>
        <v>526515</v>
      </c>
      <c r="F76" s="205"/>
      <c r="H76" s="159">
        <f>H74-H75</f>
        <v>526515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711372</v>
      </c>
      <c r="D77" s="156">
        <f>C77/$C$74</f>
        <v>0.81977588376563215</v>
      </c>
      <c r="E77" s="233">
        <f>Inputs!E93</f>
        <v>711372</v>
      </c>
      <c r="F77" s="157">
        <f>E77/E74</f>
        <v>0.81977588376563215</v>
      </c>
      <c r="H77" s="233">
        <f>Inputs!F93</f>
        <v>711372</v>
      </c>
      <c r="I77" s="157">
        <f>H77/$H$74</f>
        <v>0.81977588376563215</v>
      </c>
      <c r="K77" s="24"/>
    </row>
    <row r="78" spans="1:11" ht="15" customHeight="1" x14ac:dyDescent="0.4">
      <c r="B78" s="73" t="s">
        <v>160</v>
      </c>
      <c r="C78" s="77">
        <f>MAX(Data!C12,0)</f>
        <v>2744</v>
      </c>
      <c r="D78" s="156">
        <f>C78/$C$74</f>
        <v>3.1621500776708874E-3</v>
      </c>
      <c r="E78" s="177">
        <f>E74*F78</f>
        <v>2744</v>
      </c>
      <c r="F78" s="157">
        <f>I78</f>
        <v>3.1621500776708874E-3</v>
      </c>
      <c r="H78" s="233">
        <f>Inputs!F97</f>
        <v>2744</v>
      </c>
      <c r="I78" s="157">
        <f>H78/$H$74</f>
        <v>3.1621500776708874E-3</v>
      </c>
      <c r="K78" s="24"/>
    </row>
    <row r="79" spans="1:11" ht="15" customHeight="1" x14ac:dyDescent="0.4">
      <c r="B79" s="251" t="s">
        <v>216</v>
      </c>
      <c r="C79" s="252">
        <f>C76-C77-C78</f>
        <v>-187601</v>
      </c>
      <c r="D79" s="253">
        <f>C79/C74</f>
        <v>-0.21618896381965605</v>
      </c>
      <c r="E79" s="254">
        <f>E76-E77-E78</f>
        <v>-187601</v>
      </c>
      <c r="F79" s="253">
        <f>E79/E74</f>
        <v>-0.21618896381965605</v>
      </c>
      <c r="G79" s="255"/>
      <c r="H79" s="254">
        <f>H76-H77-H78</f>
        <v>-187601</v>
      </c>
      <c r="I79" s="253">
        <f>H79/H74</f>
        <v>-0.21618896381965605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8305</v>
      </c>
      <c r="D81" s="156">
        <f>C81/$C$74</f>
        <v>9.5705744879944314E-3</v>
      </c>
      <c r="E81" s="177">
        <f>E74*F81</f>
        <v>8305</v>
      </c>
      <c r="F81" s="157">
        <f>I81</f>
        <v>9.5705744879944314E-3</v>
      </c>
      <c r="H81" s="233">
        <f>Inputs!F94</f>
        <v>8305</v>
      </c>
      <c r="I81" s="157">
        <f>H81/$H$74</f>
        <v>9.5705744879944314E-3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136</v>
      </c>
      <c r="D82" s="156">
        <f>C82/$C$74</f>
        <v>1.5672463941809065E-4</v>
      </c>
      <c r="E82" s="233">
        <f>Inputs!E95</f>
        <v>136</v>
      </c>
      <c r="F82" s="157">
        <f>E82/E74</f>
        <v>1.5672463941809065E-4</v>
      </c>
      <c r="H82" s="233">
        <f>Inputs!F95</f>
        <v>136</v>
      </c>
      <c r="I82" s="157">
        <f>H82/$H$74</f>
        <v>1.5672463941809065E-4</v>
      </c>
      <c r="K82" s="24"/>
    </row>
    <row r="83" spans="1:11" ht="15" customHeight="1" thickBot="1" x14ac:dyDescent="0.45">
      <c r="B83" s="104" t="s">
        <v>119</v>
      </c>
      <c r="C83" s="160">
        <f>C79-C81-C82-C80</f>
        <v>-196042</v>
      </c>
      <c r="D83" s="161">
        <f>C83/$C$74</f>
        <v>-0.22591626294706857</v>
      </c>
      <c r="E83" s="162">
        <f>E79-E81-E82-E80</f>
        <v>-196042</v>
      </c>
      <c r="F83" s="161">
        <f>E83/E74</f>
        <v>-0.22591626294706857</v>
      </c>
      <c r="H83" s="162">
        <f>H79-H81-H82-H80</f>
        <v>-196042</v>
      </c>
      <c r="I83" s="161">
        <f>H83/$H$74</f>
        <v>-0.22591626294706857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-147031.5</v>
      </c>
      <c r="D85" s="253">
        <f>C85/$C$74</f>
        <v>-0.16943719721030143</v>
      </c>
      <c r="E85" s="259">
        <f>E83*(1-F84)</f>
        <v>-147031.5</v>
      </c>
      <c r="F85" s="253">
        <f>E85/E74</f>
        <v>-0.16943719721030143</v>
      </c>
      <c r="G85" s="255"/>
      <c r="H85" s="259">
        <f>H83*(1-I84)</f>
        <v>-147031.5</v>
      </c>
      <c r="I85" s="253">
        <f>H85/$H$74</f>
        <v>-0.16943719721030143</v>
      </c>
      <c r="K85" s="24"/>
    </row>
    <row r="86" spans="1:11" ht="15" customHeight="1" x14ac:dyDescent="0.4">
      <c r="B86" s="86" t="s">
        <v>151</v>
      </c>
      <c r="C86" s="164">
        <f>C85*Data!C4/Common_Shares</f>
        <v>-6.4346841529759405E-2</v>
      </c>
      <c r="D86" s="204"/>
      <c r="E86" s="165">
        <f>E85*Data!C4/Common_Shares</f>
        <v>-6.4346841529759405E-2</v>
      </c>
      <c r="F86" s="204"/>
      <c r="H86" s="165">
        <f>H85*Data!C4/Common_Shares</f>
        <v>-6.4346841529759405E-2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-4.0164810197926074E-2</v>
      </c>
      <c r="D87" s="204"/>
      <c r="E87" s="257">
        <f>E86*Exchange_Rate/Dashboard!G3</f>
        <v>-4.0164810197926074E-2</v>
      </c>
      <c r="F87" s="204"/>
      <c r="H87" s="257">
        <f>H86*Exchange_Rate/Dashboard!G3</f>
        <v>-4.0164810197926074E-2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</v>
      </c>
      <c r="D88" s="163">
        <f>C88/C86</f>
        <v>-1.5540778323012416</v>
      </c>
      <c r="E88" s="167">
        <f>Inputs!E98</f>
        <v>0.1</v>
      </c>
      <c r="F88" s="163">
        <f>E88/E86</f>
        <v>-1.5540778323012416</v>
      </c>
      <c r="H88" s="167">
        <f>Inputs!F98</f>
        <v>0.1</v>
      </c>
      <c r="I88" s="163">
        <f>H88/H86</f>
        <v>-1.5540778323012416</v>
      </c>
      <c r="K88" s="24"/>
    </row>
    <row r="89" spans="1:11" ht="15" customHeight="1" x14ac:dyDescent="0.4">
      <c r="B89" s="86" t="s">
        <v>205</v>
      </c>
      <c r="C89" s="256">
        <f>C88*Exchange_Rate/Dashboard!G3</f>
        <v>6.2419241167183746E-2</v>
      </c>
      <c r="D89" s="204"/>
      <c r="E89" s="256">
        <f>E88*Exchange_Rate/Dashboard!G3</f>
        <v>6.2419241167183746E-2</v>
      </c>
      <c r="F89" s="204"/>
      <c r="H89" s="256">
        <f>H88*Exchange_Rate/Dashboard!G3</f>
        <v>6.2419241167183746E-2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-0.84457707233191004</v>
      </c>
      <c r="H93" s="86" t="s">
        <v>194</v>
      </c>
      <c r="I93" s="142">
        <f>FV(H87,D93,0,-(H86/(C93-D94)))*Exchange_Rate</f>
        <v>-0.84457707233191004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2.1807623960113931</v>
      </c>
      <c r="H94" s="86" t="s">
        <v>195</v>
      </c>
      <c r="I94" s="142">
        <f>FV(H89,D93,0,-(H88/(C93-D94)))*Exchange_Rate</f>
        <v>2.1807623960113931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-959474.06314536056</v>
      </c>
      <c r="D97" s="208"/>
      <c r="E97" s="121">
        <f>PV(C94,D93,0,-F93)</f>
        <v>-0.41990407152976666</v>
      </c>
      <c r="F97" s="208"/>
      <c r="H97" s="121">
        <f>PV(C94,D93,0,-I93)</f>
        <v>-0.41990407152976666</v>
      </c>
      <c r="I97" s="121">
        <f>PV(C93,D93,0,-I93)</f>
        <v>-0.55845777310397482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5043940.3806619849</v>
      </c>
      <c r="D99" s="209"/>
      <c r="E99" s="143">
        <f>IF(H99&gt;0,H99*(1-C94),H99*(1+C94))</f>
        <v>1.8763148543408004</v>
      </c>
      <c r="F99" s="209"/>
      <c r="H99" s="143">
        <f>C99*Data!$C$4/Common_Shares</f>
        <v>2.2074292404009417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4084466.3175166245</v>
      </c>
      <c r="D100" s="108">
        <f>MIN(F100*(1-C94),E100)</f>
        <v>1.3786727794649387</v>
      </c>
      <c r="E100" s="108">
        <f>MAX(E97+H98+E99,0)</f>
        <v>1.4564107828110338</v>
      </c>
      <c r="F100" s="108">
        <f>(E100+H100)/2</f>
        <v>1.6219679758411045</v>
      </c>
      <c r="H100" s="108">
        <f>MAX(C100*Data!$C$4/Common_Shares,0)</f>
        <v>1.7875251688711751</v>
      </c>
      <c r="I100" s="108">
        <f>MAX(I97+H98+H99,0)</f>
        <v>1.6489714672969669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2477435.1866769334</v>
      </c>
      <c r="D103" s="108">
        <f>MIN(F103*(1-C94),E103)</f>
        <v>0.92159067923368776</v>
      </c>
      <c r="E103" s="121">
        <f>PV(C94,D93,0,-F94)</f>
        <v>1.0842243285102209</v>
      </c>
      <c r="F103" s="108">
        <f>(E103+H103)/2</f>
        <v>1.0842243285102209</v>
      </c>
      <c r="H103" s="121">
        <f>PV(C94,D93,0,-I94)</f>
        <v>1.0842243285102209</v>
      </c>
      <c r="I103" s="108">
        <f>PV(C93,D93,0,-I94)</f>
        <v>1.4419805500791563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2902655.2235471294</v>
      </c>
      <c r="D106" s="108">
        <f>(D100+D103)/2</f>
        <v>1.1501317293493132</v>
      </c>
      <c r="E106" s="121">
        <f>(E100+E103)/2</f>
        <v>1.2703175556606272</v>
      </c>
      <c r="F106" s="108">
        <f>(F100+F103)/2</f>
        <v>1.3530961521756626</v>
      </c>
      <c r="H106" s="121">
        <f>(H100+H103)/2</f>
        <v>1.435874748690698</v>
      </c>
      <c r="I106" s="121">
        <f>(I100+I103)/2</f>
        <v>1.5454760086880617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