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1F68333D-FCF4-4352-AB37-6DAEE7EED96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C61" i="4"/>
  <c r="B47" i="4" s="1"/>
  <c r="D60" i="4"/>
  <c r="D59" i="4"/>
  <c r="D58" i="4"/>
  <c r="D71" i="4" s="1"/>
  <c r="D55" i="4"/>
  <c r="D50" i="4"/>
  <c r="D56" i="4" s="1"/>
  <c r="D44" i="4"/>
  <c r="C44" i="4"/>
  <c r="D41" i="4"/>
  <c r="C41" i="4"/>
  <c r="C49" i="3" s="1"/>
  <c r="F37" i="4"/>
  <c r="E37" i="4"/>
  <c r="D37" i="4"/>
  <c r="E27" i="4"/>
  <c r="D27" i="4"/>
  <c r="C27" i="4"/>
  <c r="H56" i="2"/>
  <c r="J56" i="2"/>
  <c r="D4" i="3"/>
  <c r="D3" i="3"/>
  <c r="I3" i="3" s="1"/>
  <c r="I49" i="3"/>
  <c r="C34" i="2"/>
  <c r="C56" i="2" s="1"/>
  <c r="C30" i="2"/>
  <c r="E34" i="2"/>
  <c r="E56" i="2" s="1"/>
  <c r="F34" i="2"/>
  <c r="F56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G56" i="2"/>
  <c r="F27" i="2"/>
  <c r="M56" i="2"/>
  <c r="E27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<sst xmlns="http://schemas.openxmlformats.org/spreadsheetml/2006/main" count="392" uniqueCount="277">
  <si>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</si>
  <si>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</si>
  <si>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</si>
  <si>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</si>
  <si>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</si>
  <si>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</si>
  <si>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</si>
  <si>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</si>
  <si>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</si>
  <si>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</si>
  <si>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</si>
  <si>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</si>
  <si>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</si>
  <si>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</si>
  <si>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</si>
  <si>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</si>
  <si>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</si>
  <si>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</si>
  <si>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</si>
  <si>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</si>
  <si>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</si>
  <si>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</si>
  <si>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</si>
  <si>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</si>
  <si>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</si>
  <si>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</si>
  <si>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</si>
  <si>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</si>
  <si>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</si>
  <si>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</si>
  <si>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</si>
  <si>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</si>
  <si>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</si>
  <si>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</si>
  <si>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</si>
  <si>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</si>
  <si>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</si>
  <si>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</si>
  <si>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</si>
  <si>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</si>
  <si>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</si>
  <si>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</si>
  <si>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</si>
  <si>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</si>
  <si>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</si>
  <si>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</si>
  <si>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</si>
  <si>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</si>
  <si>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</si>
  <si>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</si>
  <si>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</si>
  <si>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</si>
  <si>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</si>
  <si>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</si>
  <si>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</si>
  <si>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</si>
  <si>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</si>
  <si>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</si>
  <si>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</si>
  <si>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</si>
  <si>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</si>
  <si>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</si>
  <si>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</si>
  <si>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</si>
  <si>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</si>
  <si>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</si>
  <si>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</si>
  <si>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</si>
  <si>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</si>
  <si>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</si>
  <si>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</si>
  <si>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</si>
  <si>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</si>
  <si>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</si>
  <si>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</si>
  <si>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</si>
  <si>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</si>
  <si>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</si>
  <si>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</si>
  <si>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</si>
  <si>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</si>
  <si>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</si>
  <si>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</si>
  <si>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</si>
  <si>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</si>
  <si>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</si>
  <si>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</si>
  <si>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</si>
  <si>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</si>
  <si>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</si>
  <si>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</si>
  <si>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</si>
  <si>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</si>
  <si>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</si>
  <si>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</si>
  <si>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</si>
  <si>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</si>
  <si>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</si>
  <si>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</si>
  <si>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</si>
  <si>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</si>
  <si>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</si>
  <si>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</si>
  <si>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</si>
  <si>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</si>
  <si>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</si>
  <si>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</si>
  <si>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</si>
  <si>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</si>
  <si>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</si>
  <si>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</si>
  <si>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</si>
  <si>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</si>
  <si>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</si>
  <si>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</si>
  <si>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</si>
  <si>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</si>
  <si>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</si>
  <si>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</si>
  <si>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</si>
  <si>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</si>
  <si>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</si>
  <si>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</si>
  <si>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</si>
  <si>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</si>
  <si>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</si>
  <si>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</si>
  <si>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</si>
  <si>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</si>
  <si>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</si>
  <si>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</si>
  <si>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</si>
  <si>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</si>
  <si>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</si>
  <si>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</si>
  <si>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</si>
  <si>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</si>
  <si>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</si>
  <si>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</si>
  <si>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</si>
  <si>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</si>
  <si>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</si>
  <si>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</si>
  <si>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</si>
  <si>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</si>
  <si>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</si>
  <si>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</si>
  <si>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</si>
  <si>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</si>
  <si>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</si>
  <si>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</si>
  <si>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</si>
  <si>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</si>
  <si>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</si>
  <si>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</si>
  <si>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</si>
  <si>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</si>
  <si>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</si>
  <si>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</si>
  <si>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</si>
  <si>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</si>
  <si>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</si>
  <si>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</si>
  <si>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</si>
  <si>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</si>
  <si>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</si>
  <si>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</si>
  <si>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</si>
  <si>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</si>
  <si>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</si>
  <si>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</si>
  <si>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</si>
  <si>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</si>
  <si>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</si>
  <si>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</si>
  <si>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</si>
  <si>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</si>
  <si>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</si>
  <si>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</si>
  <si>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</si>
  <si>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</si>
  <si>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</si>
  <si>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</si>
  <si>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</si>
  <si>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</si>
  <si>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</si>
  <si>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</si>
  <si>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</si>
  <si>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</si>
  <si>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</si>
  <si>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</si>
  <si>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</si>
  <si>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</si>
  <si>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</si>
  <si>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</si>
  <si>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</si>
  <si>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</si>
  <si>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</si>
  <si>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</si>
  <si>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</si>
  <si>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</si>
  <si>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</si>
  <si>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</si>
  <si>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</si>
  <si>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</si>
  <si>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</si>
  <si>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</si>
  <si>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</si>
  <si>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</si>
  <si>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</si>
  <si>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</si>
  <si>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</si>
  <si>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</si>
  <si>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</si>
  <si>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</si>
  <si>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</si>
  <si>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</si>
  <si>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</si>
  <si>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</si>
  <si>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</si>
  <si>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</si>
  <si>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</si>
  <si>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</si>
  <si>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</si>
  <si>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</si>
  <si>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</si>
  <si>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</si>
  <si>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</si>
  <si>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</si>
  <si>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</si>
  <si>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</si>
  <si>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</si>
  <si>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</si>
  <si>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</si>
  <si>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</si>
  <si>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</si>
  <si>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</si>
  <si>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</si>
  <si>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</si>
  <si>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</si>
  <si>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</si>
  <si>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</si>
  <si>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</si>
  <si>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</si>
  <si>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</si>
  <si>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</si>
  <si>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</si>
  <si>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</si>
  <si>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</si>
  <si>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</si>
  <si>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</si>
  <si>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</si>
  <si>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</si>
  <si>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</si>
  <si>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</si>
  <si>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</si>
  <si>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</si>
  <si>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</si>
  <si>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</si>
  <si>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</si>
  <si>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</si>
  <si>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</si>
  <si>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</si>
  <si>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</si>
  <si>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</si>
  <si>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</si>
  <si>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</si>
  <si>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</si>
  <si>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</si>
  <si>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9988.HK</t>
  </si>
  <si>
    <t>阿里巴巴</t>
  </si>
  <si>
    <t xml:space="preserve">Superior Cycl. </t>
  </si>
  <si>
    <t>C0009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</si>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</sst>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1" zoomScaleNormal="100" workbookViewId="0">
      <selection activeCell="D88" sqref="D8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45624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271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19080551940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45382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45382</v>
      </c>
    </row>
    <row r="15" spans="1:5" ht="13.9" x14ac:dyDescent="0.4">
      <c r="B15" s="213" t="s">
        <v>236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274</v>
      </c>
      <c r="D17" s="24"/>
    </row>
    <row r="18" spans="2:13" ht="13.9" x14ac:dyDescent="0.4">
      <c r="B18" s="235" t="s">
        <v>222</v>
      </c>
      <c r="C18" s="237" t="s">
        <v>274</v>
      </c>
      <c r="D18" s="24"/>
    </row>
    <row r="19" spans="2:13" ht="13.9" x14ac:dyDescent="0.4">
      <c r="B19" s="235" t="s">
        <v>223</v>
      </c>
      <c r="C19" s="237" t="s">
        <v>274</v>
      </c>
      <c r="D19" s="24"/>
    </row>
    <row r="20" spans="2:13" ht="13.9" x14ac:dyDescent="0.4">
      <c r="B20" s="236" t="s">
        <v>212</v>
      </c>
      <c r="C20" s="237" t="s">
        <v>274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275</v>
      </c>
      <c r="D22" s="24"/>
    </row>
    <row r="24" spans="2:13" ht="13.9" x14ac:dyDescent="0.4">
      <c r="B24" s="114" t="s">
        <v>127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3" t="s">
        <v>11</v>
      </c>
      <c r="C25" s="147">
        <v>941168</v>
      </c>
      <c r="D25" s="147">
        <v>868687</v>
      </c>
      <c r="E25" s="147">
        <v>853062</v>
      </c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586323</v>
      </c>
      <c r="D26" s="148">
        <v>549695</v>
      </c>
      <c r="E26" s="148">
        <v>539450</v>
      </c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115141+41985</f>
        <v>157126</v>
      </c>
      <c r="D27" s="148">
        <f>103496+42183</f>
        <v>145679</v>
      </c>
      <c r="E27" s="148">
        <f>119799+31922</f>
        <v>151721</v>
      </c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52256</v>
      </c>
      <c r="D28" s="148">
        <v>56744</v>
      </c>
      <c r="E28" s="148">
        <v>55465</v>
      </c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7947</v>
      </c>
      <c r="D29" s="148">
        <v>5918</v>
      </c>
      <c r="E29" s="148">
        <v>4909</v>
      </c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268</v>
      </c>
      <c r="D30" s="148">
        <v>274</v>
      </c>
      <c r="E30" s="148">
        <v>290</v>
      </c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>
        <v>22554271</v>
      </c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652230</v>
      </c>
      <c r="D37" s="148">
        <f>385351+244772</f>
        <v>630123</v>
      </c>
      <c r="E37" s="148">
        <f>383784+229576</f>
        <v>613360</v>
      </c>
      <c r="F37" s="148">
        <f>377358+229226</f>
        <v>606584</v>
      </c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f>1101871+10728</f>
        <v>1112599</v>
      </c>
      <c r="D41" s="148">
        <f>1113063+9858</f>
        <v>1122921</v>
      </c>
      <c r="E41" s="148">
        <v>1082193</v>
      </c>
      <c r="F41" s="148">
        <v>1083634</v>
      </c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115327</v>
      </c>
      <c r="D42" s="148">
        <v>123406</v>
      </c>
      <c r="E42" s="148">
        <v>124059</v>
      </c>
      <c r="F42" s="148">
        <v>137491</v>
      </c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0.125*7.2</f>
        <v>0.9</v>
      </c>
      <c r="D44" s="245">
        <f>0.125*7.2</f>
        <v>0.9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1.1436096685273308E-2</v>
      </c>
      <c r="D45" s="150">
        <f>IF(D44="","",D44*Exchange_Rate/Dashboard!$G$3)</f>
        <v>1.1436096685273308E-2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248125</v>
      </c>
      <c r="D48" s="60">
        <v>0.9</v>
      </c>
      <c r="E48" s="111"/>
    </row>
    <row r="49" spans="2:5" ht="13.9" x14ac:dyDescent="0.4">
      <c r="B49" s="1" t="s">
        <v>129</v>
      </c>
      <c r="C49" s="59">
        <v>38299</v>
      </c>
      <c r="D49" s="60">
        <v>0.8</v>
      </c>
      <c r="E49" s="111"/>
    </row>
    <row r="50" spans="2:5" ht="13.9" x14ac:dyDescent="0.4">
      <c r="B50" s="3" t="s">
        <v>111</v>
      </c>
      <c r="C50" s="59">
        <v>143536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59949</v>
      </c>
      <c r="D51" s="60">
        <v>0.6</v>
      </c>
      <c r="E51" s="111"/>
    </row>
    <row r="52" spans="2:5" ht="13.9" x14ac:dyDescent="0.4">
      <c r="B52" s="3" t="s">
        <v>39</v>
      </c>
      <c r="C52" s="59">
        <v>262955</v>
      </c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>
        <f>220942+203131</f>
        <v>424073</v>
      </c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>
        <v>116102</v>
      </c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185161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26950</v>
      </c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259679</v>
      </c>
      <c r="D72" s="243">
        <v>0</v>
      </c>
      <c r="E72" s="244"/>
    </row>
    <row r="73" spans="2:5" ht="13.9" x14ac:dyDescent="0.4">
      <c r="B73" s="3" t="s">
        <v>34</v>
      </c>
      <c r="C73" s="59">
        <v>12749</v>
      </c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>
        <v>16252</v>
      </c>
    </row>
    <row r="77" spans="2:5" ht="14.25" thickBot="1" x14ac:dyDescent="0.45">
      <c r="B77" s="80" t="s">
        <v>15</v>
      </c>
      <c r="C77" s="82">
        <v>421507</v>
      </c>
    </row>
    <row r="78" spans="2:5" ht="14.25" thickTop="1" x14ac:dyDescent="0.4">
      <c r="B78" s="3" t="s">
        <v>57</v>
      </c>
      <c r="C78" s="59">
        <v>55686</v>
      </c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>
        <v>86089</v>
      </c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0.03</v>
      </c>
    </row>
    <row r="89" spans="2:8" ht="13.5" x14ac:dyDescent="0.35">
      <c r="B89" s="105" t="s">
        <v>121</v>
      </c>
      <c r="C89" s="284">
        <f>C24</f>
        <v>45382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941168</v>
      </c>
      <c r="D91" s="204"/>
      <c r="E91" s="246">
        <f>C91</f>
        <v>941168</v>
      </c>
      <c r="F91" s="246">
        <f>C91</f>
        <v>941168</v>
      </c>
    </row>
    <row r="92" spans="2:8" ht="13.9" x14ac:dyDescent="0.4">
      <c r="B92" s="103" t="s">
        <v>101</v>
      </c>
      <c r="C92" s="77">
        <f>C26</f>
        <v>586323</v>
      </c>
      <c r="D92" s="156">
        <f>C92/C91</f>
        <v>0.62297379426414834</v>
      </c>
      <c r="E92" s="247">
        <f>E91*D92</f>
        <v>586323</v>
      </c>
      <c r="F92" s="247">
        <f>F91*D92</f>
        <v>586323</v>
      </c>
    </row>
    <row r="93" spans="2:8" ht="13.9" x14ac:dyDescent="0.4">
      <c r="B93" s="103" t="s">
        <v>229</v>
      </c>
      <c r="C93" s="77">
        <f>C27+C28</f>
        <v>209382</v>
      </c>
      <c r="D93" s="156">
        <f>C93/C91</f>
        <v>0.22247037723339511</v>
      </c>
      <c r="E93" s="247">
        <f>E91*D93</f>
        <v>209382</v>
      </c>
      <c r="F93" s="247">
        <f>F91*D93</f>
        <v>209382</v>
      </c>
    </row>
    <row r="94" spans="2:8" ht="13.9" x14ac:dyDescent="0.4">
      <c r="B94" s="103" t="s">
        <v>237</v>
      </c>
      <c r="C94" s="77">
        <f>C29</f>
        <v>7947</v>
      </c>
      <c r="D94" s="156">
        <f>C94/C91</f>
        <v>8.4437634938714454E-3</v>
      </c>
      <c r="E94" s="248"/>
      <c r="F94" s="247">
        <f>F91*D94</f>
        <v>7947.0000000000009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357.33333333333331</v>
      </c>
      <c r="D97" s="156">
        <f>C97/C91</f>
        <v>3.796700836974199E-4</v>
      </c>
      <c r="E97" s="248"/>
      <c r="F97" s="247">
        <f>F91*D97</f>
        <v>357.33333333333331</v>
      </c>
    </row>
    <row r="98" spans="2:7" ht="13.9" x14ac:dyDescent="0.4">
      <c r="B98" s="85" t="s">
        <v>192</v>
      </c>
      <c r="C98" s="232">
        <f>C44</f>
        <v>0.9</v>
      </c>
      <c r="D98" s="261"/>
      <c r="E98" s="249">
        <f>F98</f>
        <v>0.9</v>
      </c>
      <c r="F98" s="249">
        <f>C98</f>
        <v>0.9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9988.HK : 阿里巴巴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9988.HK</v>
      </c>
      <c r="D3" s="291"/>
      <c r="E3" s="86"/>
      <c r="F3" s="3" t="s">
        <v>1</v>
      </c>
      <c r="G3" s="130">
        <v>84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阿里巴巴</v>
      </c>
      <c r="D4" s="293"/>
      <c r="E4" s="86"/>
      <c r="F4" s="3" t="s">
        <v>2</v>
      </c>
      <c r="G4" s="296">
        <f>Inputs!C10</f>
        <v>19080551940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45624</v>
      </c>
      <c r="D5" s="295"/>
      <c r="E5" s="34"/>
      <c r="F5" s="35" t="s">
        <v>95</v>
      </c>
      <c r="G5" s="288">
        <f>G3*G4/1000000</f>
        <v>1602766.3629600001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45626</v>
      </c>
      <c r="E6" s="51">
        <f>IF(Fin_Analysis!E9="FY",Fin_Analysis!D9,Data!C3)</f>
        <v>45382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C0009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>
        <f>C21*C22*C23</f>
        <v>0.14550259775333776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0.15417615841875909</v>
      </c>
      <c r="F21" s="86"/>
      <c r="G21" s="29"/>
    </row>
    <row r="22" spans="1:8" ht="15.75" customHeight="1" x14ac:dyDescent="0.4">
      <c r="B22" s="273" t="s">
        <v>261</v>
      </c>
      <c r="C22" s="274">
        <f>Data!C48</f>
        <v>0.53329132737506013</v>
      </c>
      <c r="F22" s="140" t="s">
        <v>170</v>
      </c>
    </row>
    <row r="23" spans="1:8" ht="15.75" customHeight="1" thickBot="1" x14ac:dyDescent="0.45">
      <c r="B23" s="275" t="s">
        <v>267</v>
      </c>
      <c r="C23" s="282">
        <f>1/Data!C53</f>
        <v>1.7696566232682758</v>
      </c>
      <c r="F23" s="138" t="s">
        <v>174</v>
      </c>
      <c r="G23" s="174">
        <f>G3/(Data!C34*Data!C4/Common_Shares*Exchange_Rate)</f>
        <v>1.3496369479838393</v>
      </c>
    </row>
    <row r="24" spans="1:8" ht="15.75" customHeight="1" x14ac:dyDescent="0.4">
      <c r="B24" s="280" t="s">
        <v>255</v>
      </c>
      <c r="C24" s="281">
        <f>Fin_Analysis!I81</f>
        <v>8.4437634938714454E-3</v>
      </c>
      <c r="F24" s="138" t="s">
        <v>239</v>
      </c>
      <c r="G24" s="263">
        <f>G3/(Fin_Analysis!H86*G7)</f>
        <v>14.597252026265171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0.16693558551167018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178</v>
      </c>
      <c r="G26" s="175">
        <f>Fin_Analysis!H88*Exchange_Rate/G3</f>
        <v>1.1436096685273308E-2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60.556075566008431</v>
      </c>
      <c r="D29" s="127">
        <f>G29*(1+G20)</f>
        <v>109.65927849621877</v>
      </c>
      <c r="E29" s="86"/>
      <c r="F29" s="129">
        <f>IF(Fin_Analysis!C108="Profit",Fin_Analysis!F100,IF(Fin_Analysis!C108="Dividend",Fin_Analysis!F103,Fin_Analysis!F106))</f>
        <v>71.242441842362865</v>
      </c>
      <c r="G29" s="287">
        <f>IF(Fin_Analysis!C108="Profit",Fin_Analysis!I100,IF(Fin_Analysis!C108="Dividend",Fin_Analysis!I103,Fin_Analysis!I106))</f>
        <v>95.355894344538072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E15" sqref="E1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45382</v>
      </c>
      <c r="E3" s="144" t="s">
        <v>185</v>
      </c>
      <c r="F3" s="84" t="str">
        <f>H14</f>
        <v/>
      </c>
      <c r="G3" s="84">
        <f>C14</f>
        <v>145105.66666666666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3" t="s">
        <v>11</v>
      </c>
      <c r="C6" s="197">
        <f>IF(Inputs!C25=""," ",Inputs!C25)</f>
        <v>941168</v>
      </c>
      <c r="D6" s="197">
        <f>IF(Inputs!D25="","",Inputs!D25)</f>
        <v>868687</v>
      </c>
      <c r="E6" s="197">
        <f>IF(Inputs!E25="","",Inputs!E25)</f>
        <v>853062</v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8.3437417619925291E-2</v>
      </c>
      <c r="D7" s="91">
        <f t="shared" si="1"/>
        <v>1.8316370908562307E-2</v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586323</v>
      </c>
      <c r="D8" s="196">
        <f>IF(Inputs!D26="","",Inputs!D26)</f>
        <v>549695</v>
      </c>
      <c r="E8" s="196">
        <f>IF(Inputs!E26="","",Inputs!E26)</f>
        <v>539450</v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354845</v>
      </c>
      <c r="D9" s="149">
        <f t="shared" si="2"/>
        <v>318992</v>
      </c>
      <c r="E9" s="149">
        <f t="shared" si="2"/>
        <v>313612</v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157126</v>
      </c>
      <c r="D10" s="196">
        <f>IF(Inputs!D27="","",Inputs!D27)</f>
        <v>145679</v>
      </c>
      <c r="E10" s="196">
        <f>IF(Inputs!E27="","",Inputs!E27)</f>
        <v>151721</v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52256</v>
      </c>
      <c r="D11" s="196">
        <f>IF(Inputs!D28="","",Inputs!D28)</f>
        <v>56744</v>
      </c>
      <c r="E11" s="196">
        <f>IF(Inputs!E28="","",Inputs!E28)</f>
        <v>55465</v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357.33333333333331</v>
      </c>
      <c r="D12" s="196">
        <f>IF(Inputs!D30="","",MAX(Inputs!D30,0)/(1-Fin_Analysis!$I$84))</f>
        <v>365.33333333333331</v>
      </c>
      <c r="E12" s="196">
        <f>IF(Inputs!E30="","",MAX(Inputs!E30,0)/(1-Fin_Analysis!$I$84))</f>
        <v>386.66666666666669</v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0.15417615841875909</v>
      </c>
      <c r="D13" s="224">
        <f t="shared" si="3"/>
        <v>0.13376931698835906</v>
      </c>
      <c r="E13" s="224">
        <f t="shared" si="3"/>
        <v>0.12430436865472068</v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145105.66666666666</v>
      </c>
      <c r="D14" s="225">
        <f t="shared" ref="D14:M14" si="4">IF(D6="","",D9-D10-MAX(D11,0)-MAX(D12,0))</f>
        <v>116203.66666666667</v>
      </c>
      <c r="E14" s="225">
        <f t="shared" si="4"/>
        <v>106039.33333333333</v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0.24871848564732596</v>
      </c>
      <c r="D15" s="227">
        <f t="shared" ref="D15:M15" si="5">IF(E14="","",IF(ABS(D14+E14)=ABS(D14)+ABS(E14),IF(D14&lt;0,-1,1)*(D14-E14)/E14,"Turn"))</f>
        <v>9.5854368504768764E-2</v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7947</v>
      </c>
      <c r="D17" s="196">
        <f>IF(Inputs!D29="","",Inputs!D29)</f>
        <v>5918</v>
      </c>
      <c r="E17" s="196">
        <f>IF(Inputs!E29="","",Inputs!E29)</f>
        <v>4909</v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137158.66666666666</v>
      </c>
      <c r="D22" s="158">
        <f t="shared" ref="D22:M22" si="8">IF(D6="","",D14-MAX(D16,0)-MAX(D17,0)-ABS(MAX(D21,0)-MAX(D19,0)))</f>
        <v>110285.66666666667</v>
      </c>
      <c r="E22" s="158">
        <f t="shared" si="8"/>
        <v>101130.33333333333</v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0.10929929619366574</v>
      </c>
      <c r="D23" s="151">
        <f t="shared" si="9"/>
        <v>9.5217552467114164E-2</v>
      </c>
      <c r="E23" s="151">
        <f t="shared" si="9"/>
        <v>8.8912353381114154E-2</v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102869</v>
      </c>
      <c r="D24" s="77">
        <f>IF(D6="","",D22*(1-Fin_Analysis!$I$84))</f>
        <v>82714.25</v>
      </c>
      <c r="E24" s="77">
        <f>IF(E6="","",E22*(1-Fin_Analysis!$I$84))</f>
        <v>75847.75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0.24366720365596012</v>
      </c>
      <c r="D25" s="228">
        <f t="shared" ref="D25:M25" si="10">IF(E24="","",IF(ABS(D24+E24)=ABS(D24)+ABS(E24),IF(D24&lt;0,-1,1)*(D24-E24)/E24,"Turn"))</f>
        <v>9.0530042090899196E-2</v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1764829</v>
      </c>
      <c r="D27" s="65">
        <f>IF(D34="","",D34+D30)</f>
        <v>1753044</v>
      </c>
      <c r="E27" s="65">
        <f t="shared" ref="E27:M27" si="20">IF(E34="","",E34+E30)</f>
        <v>1695553</v>
      </c>
      <c r="F27" s="65">
        <f t="shared" si="20"/>
        <v>1690218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143536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652230</v>
      </c>
      <c r="D30" s="196">
        <f>IF(Inputs!D37="","",Inputs!D37)</f>
        <v>630123</v>
      </c>
      <c r="E30" s="196">
        <f>IF(Inputs!E37="","",Inputs!E37)</f>
        <v>613360</v>
      </c>
      <c r="F30" s="196">
        <f>IF(Inputs!F37="","",Inputs!F37)</f>
        <v>606584</v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29001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141775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170776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1112599</v>
      </c>
      <c r="D34" s="196">
        <f>IF(Inputs!D41="","",Inputs!D41)</f>
        <v>1122921</v>
      </c>
      <c r="E34" s="196">
        <f>IF(Inputs!E41="","",Inputs!E41)</f>
        <v>1082193</v>
      </c>
      <c r="F34" s="196">
        <f>IF(Inputs!F41="","",Inputs!F41)</f>
        <v>1083634</v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115327</v>
      </c>
      <c r="D35" s="196">
        <f>IF(Inputs!D42="","",Inputs!D42)</f>
        <v>123406</v>
      </c>
      <c r="E35" s="196">
        <f>IF(Inputs!E42="","",Inputs!E42)</f>
        <v>124059</v>
      </c>
      <c r="F35" s="196">
        <f>IF(Inputs!F42="","",Inputs!F42)</f>
        <v>137491</v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769727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0.18851575515301744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0.62297379426414834</v>
      </c>
      <c r="D40" s="154">
        <f t="shared" si="34"/>
        <v>0.63278833457850758</v>
      </c>
      <c r="E40" s="154">
        <f t="shared" si="34"/>
        <v>0.63236904234393276</v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0.22247037723339511</v>
      </c>
      <c r="D41" s="151">
        <f t="shared" si="35"/>
        <v>0.23302179035717122</v>
      </c>
      <c r="E41" s="151">
        <f t="shared" si="35"/>
        <v>0.24287331987592931</v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8.4437634938714454E-3</v>
      </c>
      <c r="D43" s="151">
        <f t="shared" si="37"/>
        <v>6.8125803655401775E-3</v>
      </c>
      <c r="E43" s="151">
        <f t="shared" si="37"/>
        <v>5.7545641465684789E-3</v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3.796700836974199E-4</v>
      </c>
      <c r="D44" s="151">
        <f t="shared" si="38"/>
        <v>4.205580759621513E-4</v>
      </c>
      <c r="E44" s="151">
        <f t="shared" si="38"/>
        <v>4.5326912541722252E-4</v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0.14573239492488765</v>
      </c>
      <c r="D46" s="151">
        <f t="shared" si="40"/>
        <v>0.12695673662281889</v>
      </c>
      <c r="E46" s="151">
        <f t="shared" si="40"/>
        <v>0.1185498045081522</v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0.53329132737506013</v>
      </c>
      <c r="D48" s="267">
        <f t="shared" si="41"/>
        <v>0.49553063129048674</v>
      </c>
      <c r="E48" s="267">
        <f t="shared" si="41"/>
        <v>0.50311727206404044</v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0.15250837257535318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0.56508137615599019</v>
      </c>
      <c r="D53" s="154">
        <f t="shared" si="45"/>
        <v>0.57015967653977884</v>
      </c>
      <c r="E53" s="154">
        <f t="shared" si="45"/>
        <v>0.56508643492712995</v>
      </c>
      <c r="F53" s="154">
        <f t="shared" si="45"/>
        <v>0.55977572123832542</v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0.80314954482284784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5.7940195782986134E-2</v>
      </c>
      <c r="D55" s="151">
        <f t="shared" si="47"/>
        <v>5.3660644931193838E-2</v>
      </c>
      <c r="E55" s="151">
        <f t="shared" si="47"/>
        <v>4.8541321265297921E-2</v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0.14550259775333776</v>
      </c>
      <c r="D58" s="269">
        <f t="shared" si="49"/>
        <v>0.11626005279227092</v>
      </c>
      <c r="E58" s="269">
        <f t="shared" si="49"/>
        <v>0.11067275906432016</v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0.13753385903411172</v>
      </c>
      <c r="D59" s="269">
        <f t="shared" si="50"/>
        <v>0.1103391811695339</v>
      </c>
      <c r="E59" s="269">
        <f t="shared" si="50"/>
        <v>0.10554925859361355</v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7" zoomScaleNormal="100" workbookViewId="0">
      <selection activeCell="H88" sqref="H88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1112599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997272</v>
      </c>
      <c r="K3" s="24"/>
    </row>
    <row r="4" spans="1:11" ht="15" customHeight="1" x14ac:dyDescent="0.4">
      <c r="B4" s="3" t="s">
        <v>22</v>
      </c>
      <c r="C4" s="86"/>
      <c r="D4" s="196">
        <f>Inputs!C42</f>
        <v>115327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1.7861245483467654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20388.819699867687</v>
      </c>
      <c r="E6" s="56">
        <f>1-D6/D3</f>
        <v>0.98167460181083421</v>
      </c>
      <c r="F6" s="86"/>
      <c r="G6" s="86"/>
      <c r="H6" s="1" t="s">
        <v>25</v>
      </c>
      <c r="I6" s="63">
        <f>(C24+C25)/I28</f>
        <v>1.7861245483467654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1.140553724606804</v>
      </c>
      <c r="E7" s="11" t="str">
        <f>Dashboard!H3</f>
        <v>HKD</v>
      </c>
      <c r="H7" s="1" t="s">
        <v>26</v>
      </c>
      <c r="I7" s="63">
        <f>C24/I28</f>
        <v>1.1622796299942824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45382</v>
      </c>
      <c r="E9" s="117" t="str">
        <f>IF(MONTH(D9)=MONTH(Data!C3),"FY","Quarter")</f>
        <v>FY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248125</v>
      </c>
      <c r="D11" s="195">
        <f>Inputs!D48</f>
        <v>0.9</v>
      </c>
      <c r="E11" s="87">
        <f t="shared" ref="E11:E22" si="0">C11*D11</f>
        <v>223312.5</v>
      </c>
      <c r="F11" s="111"/>
      <c r="G11" s="86"/>
      <c r="H11" s="3" t="s">
        <v>34</v>
      </c>
      <c r="I11" s="40">
        <f>Inputs!C73</f>
        <v>12749</v>
      </c>
      <c r="J11" s="86"/>
      <c r="K11" s="24"/>
    </row>
    <row r="12" spans="1:11" ht="13.9" x14ac:dyDescent="0.4">
      <c r="B12" s="1" t="s">
        <v>129</v>
      </c>
      <c r="C12" s="40">
        <f>Inputs!C49</f>
        <v>38299</v>
      </c>
      <c r="D12" s="195">
        <f>Inputs!D49</f>
        <v>0.8</v>
      </c>
      <c r="E12" s="87">
        <f t="shared" si="0"/>
        <v>30639.200000000001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143536</v>
      </c>
      <c r="D13" s="195">
        <f>Inputs!D50</f>
        <v>0.6</v>
      </c>
      <c r="E13" s="87">
        <f t="shared" si="0"/>
        <v>86121.599999999991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59949</v>
      </c>
      <c r="D14" s="195">
        <f>Inputs!D51</f>
        <v>0.6</v>
      </c>
      <c r="E14" s="87">
        <f t="shared" si="0"/>
        <v>35969.4</v>
      </c>
      <c r="F14" s="111"/>
      <c r="G14" s="86"/>
      <c r="H14" s="85" t="s">
        <v>38</v>
      </c>
      <c r="I14" s="201">
        <f>Inputs!C76</f>
        <v>16252</v>
      </c>
      <c r="J14" s="86"/>
      <c r="K14" s="27"/>
    </row>
    <row r="15" spans="1:11" ht="13.9" x14ac:dyDescent="0.4">
      <c r="B15" s="3" t="s">
        <v>39</v>
      </c>
      <c r="C15" s="40">
        <f>Inputs!C52</f>
        <v>262955</v>
      </c>
      <c r="D15" s="195">
        <f>Inputs!D52</f>
        <v>0.5</v>
      </c>
      <c r="E15" s="87">
        <f t="shared" si="0"/>
        <v>131477.5</v>
      </c>
      <c r="F15" s="111"/>
      <c r="G15" s="86"/>
      <c r="H15" s="1" t="s">
        <v>49</v>
      </c>
      <c r="I15" s="83">
        <f>SUM(I11:I14)</f>
        <v>29001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392506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489909</v>
      </c>
      <c r="D24" s="62">
        <f>IF(E24=0,0,E24/C24)</f>
        <v>0.76757663157851763</v>
      </c>
      <c r="E24" s="87">
        <f>SUM(E11:E14)</f>
        <v>376042.7</v>
      </c>
      <c r="F24" s="112">
        <f>E24/$E$28</f>
        <v>0.74094134578288706</v>
      </c>
      <c r="G24" s="86"/>
    </row>
    <row r="25" spans="2:10" ht="15" customHeight="1" x14ac:dyDescent="0.4">
      <c r="B25" s="23" t="s">
        <v>50</v>
      </c>
      <c r="C25" s="61">
        <f>SUM(C15:C17)</f>
        <v>262955</v>
      </c>
      <c r="D25" s="62">
        <f>IF(E25=0,0,E25/C25)</f>
        <v>0.5</v>
      </c>
      <c r="E25" s="87">
        <f>SUM(E15:E17)</f>
        <v>131477.5</v>
      </c>
      <c r="F25" s="112">
        <f>E25/$E$28</f>
        <v>0.25905865421711294</v>
      </c>
      <c r="G25" s="86"/>
      <c r="H25" s="23" t="s">
        <v>51</v>
      </c>
      <c r="I25" s="63">
        <f>E28/I28</f>
        <v>1.2040611425195786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>
        <f>E26/$E$28</f>
        <v>0</v>
      </c>
      <c r="G26" s="86"/>
      <c r="H26" s="23" t="s">
        <v>53</v>
      </c>
      <c r="I26" s="63">
        <f>E24/($I$28-I22)</f>
        <v>12.966542533016103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1.2040611425195786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752864</v>
      </c>
      <c r="D28" s="57">
        <f>E28/C28</f>
        <v>0.67411936285969309</v>
      </c>
      <c r="E28" s="70">
        <f>SUM(E24:E27)</f>
        <v>507520.2</v>
      </c>
      <c r="F28" s="111"/>
      <c r="G28" s="86"/>
      <c r="H28" s="78" t="s">
        <v>15</v>
      </c>
      <c r="I28" s="202">
        <f>Inputs!C77</f>
        <v>421507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55686</v>
      </c>
      <c r="J30" s="86"/>
    </row>
    <row r="31" spans="2:10" ht="15" customHeight="1" x14ac:dyDescent="0.4">
      <c r="B31" s="3" t="s">
        <v>58</v>
      </c>
      <c r="C31" s="40">
        <f>Inputs!C61</f>
        <v>424073</v>
      </c>
      <c r="D31" s="195">
        <f>Inputs!D61</f>
        <v>0.6</v>
      </c>
      <c r="E31" s="87">
        <f t="shared" ref="E31:E42" si="1">C31*D31</f>
        <v>254443.8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86089</v>
      </c>
      <c r="J33" s="86"/>
    </row>
    <row r="34" spans="2:10" ht="13.9" x14ac:dyDescent="0.4">
      <c r="B34" s="3" t="s">
        <v>63</v>
      </c>
      <c r="C34" s="40">
        <f>Inputs!C64</f>
        <v>116102</v>
      </c>
      <c r="D34" s="195">
        <f>Inputs!D64</f>
        <v>0.4</v>
      </c>
      <c r="E34" s="87">
        <f t="shared" si="1"/>
        <v>46440.800000000003</v>
      </c>
      <c r="F34" s="111"/>
      <c r="G34" s="86"/>
      <c r="H34" s="1" t="s">
        <v>73</v>
      </c>
      <c r="I34" s="83">
        <f>SUM(I30:I33)</f>
        <v>141775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185161</v>
      </c>
      <c r="D38" s="195">
        <f>Inputs!D68</f>
        <v>0.1</v>
      </c>
      <c r="E38" s="87">
        <f t="shared" si="1"/>
        <v>18516.100000000002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26950</v>
      </c>
      <c r="D40" s="195">
        <f>Inputs!D70</f>
        <v>0.05</v>
      </c>
      <c r="E40" s="87">
        <f t="shared" si="1"/>
        <v>1347.5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259679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88948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424073</v>
      </c>
      <c r="D44" s="62">
        <f>IF(E44=0,0,E44/C44)</f>
        <v>0.6</v>
      </c>
      <c r="E44" s="87">
        <f>SUM(E30:E31)</f>
        <v>254443.8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116102</v>
      </c>
      <c r="D45" s="62">
        <f>IF(E45=0,0,E45/C45)</f>
        <v>0.4</v>
      </c>
      <c r="E45" s="87">
        <f>SUM(E32:E35)</f>
        <v>46440.800000000003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185161</v>
      </c>
      <c r="D46" s="62">
        <f>IF(E46=0,0,E46/C46)</f>
        <v>0.1</v>
      </c>
      <c r="E46" s="87">
        <f>E36+E37+E38+E39</f>
        <v>18516.100000000002</v>
      </c>
      <c r="F46" s="86"/>
      <c r="G46" s="86"/>
      <c r="H46" s="23" t="s">
        <v>76</v>
      </c>
      <c r="I46" s="63">
        <f>(E44+E24)/E64</f>
        <v>3.6918917178057806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286629</v>
      </c>
      <c r="D47" s="62">
        <f>IF(E47=0,0,E47/C47)</f>
        <v>4.7011991110459863E-3</v>
      </c>
      <c r="E47" s="87">
        <f>E40+E41+E42</f>
        <v>1347.5</v>
      </c>
      <c r="F47" s="86"/>
      <c r="G47" s="86"/>
      <c r="H47" s="23" t="s">
        <v>78</v>
      </c>
      <c r="I47" s="63">
        <f>(E44+E45+E24+E25)/$I$49</f>
        <v>1.2394474341873267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79">
        <f>SUM(C30:C42)</f>
        <v>1011965</v>
      </c>
      <c r="D48" s="81">
        <f>E48/C48</f>
        <v>0.31695582357097324</v>
      </c>
      <c r="E48" s="76">
        <f>SUM(E30:E42)</f>
        <v>320748.19999999995</v>
      </c>
      <c r="F48" s="86"/>
      <c r="G48" s="86"/>
      <c r="H48" s="80" t="s">
        <v>80</v>
      </c>
      <c r="I48" s="277">
        <f>I49-I28</f>
        <v>230723</v>
      </c>
      <c r="J48" s="8"/>
    </row>
    <row r="49" spans="2:11" ht="15" customHeight="1" thickTop="1" x14ac:dyDescent="0.4">
      <c r="B49" s="3" t="s">
        <v>13</v>
      </c>
      <c r="C49" s="61">
        <f>Inputs!C41+Inputs!C37</f>
        <v>1764829</v>
      </c>
      <c r="D49" s="56">
        <f>E49/C49</f>
        <v>0.46931935048664764</v>
      </c>
      <c r="E49" s="87">
        <f>E28+E48</f>
        <v>828268.39999999991</v>
      </c>
      <c r="F49" s="86"/>
      <c r="G49" s="86"/>
      <c r="H49" s="3" t="s">
        <v>81</v>
      </c>
      <c r="I49" s="40">
        <f>Inputs!C37</f>
        <v>652230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115327</v>
      </c>
      <c r="D53" s="29">
        <f>IF(E53=0, 0,E53/C53)</f>
        <v>1.3496369479838393</v>
      </c>
      <c r="E53" s="87">
        <f>IF(C53=0,0,MAX(C53,C53*Dashboard!G23))</f>
        <v>155649.58030013222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170776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746977</v>
      </c>
      <c r="D61" s="56">
        <f t="shared" ref="D61:D70" si="2">IF(E61=0,0,E61/C61)</f>
        <v>0.56479744356251926</v>
      </c>
      <c r="E61" s="52">
        <f>E14+E15+(E19*G19)+(E20*G20)+E31+E32+(E35*G35)+(E36*G36)+(E37*G37)</f>
        <v>421890.69999999995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248125</v>
      </c>
      <c r="D62" s="106">
        <f t="shared" si="2"/>
        <v>0.9</v>
      </c>
      <c r="E62" s="116">
        <f>E11+E30</f>
        <v>223312.5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995102</v>
      </c>
      <c r="D63" s="29">
        <f t="shared" si="2"/>
        <v>0.64837896014679897</v>
      </c>
      <c r="E63" s="61">
        <f>E61+E62</f>
        <v>645203.19999999995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170776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824326</v>
      </c>
      <c r="D65" s="29">
        <f t="shared" si="2"/>
        <v>0.57553346612869172</v>
      </c>
      <c r="E65" s="61">
        <f>E63-E64</f>
        <v>474427.19999999995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769727</v>
      </c>
      <c r="D68" s="29">
        <f t="shared" si="2"/>
        <v>0.23783133500578771</v>
      </c>
      <c r="E68" s="68">
        <f>E49-E63</f>
        <v>183065.19999999995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481454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288273</v>
      </c>
      <c r="D70" s="29">
        <f t="shared" si="2"/>
        <v>-1.0350910421718302</v>
      </c>
      <c r="E70" s="68">
        <f>E68-E69</f>
        <v>-298388.80000000005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45382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941168</v>
      </c>
      <c r="D74" s="204"/>
      <c r="E74" s="233">
        <f>Inputs!E91</f>
        <v>941168</v>
      </c>
      <c r="F74" s="204"/>
      <c r="H74" s="233">
        <f>Inputs!F91</f>
        <v>941168</v>
      </c>
      <c r="I74" s="204"/>
      <c r="K74" s="24"/>
    </row>
    <row r="75" spans="1:11" ht="15" customHeight="1" x14ac:dyDescent="0.4">
      <c r="B75" s="103" t="s">
        <v>101</v>
      </c>
      <c r="C75" s="77">
        <f>Data!C8</f>
        <v>586323</v>
      </c>
      <c r="D75" s="156">
        <f>C75/$C$74</f>
        <v>0.62297379426414834</v>
      </c>
      <c r="E75" s="233">
        <f>Inputs!E92</f>
        <v>586323</v>
      </c>
      <c r="F75" s="157">
        <f>E75/E74</f>
        <v>0.62297379426414834</v>
      </c>
      <c r="H75" s="233">
        <f>Inputs!F92</f>
        <v>586323</v>
      </c>
      <c r="I75" s="157">
        <f>H75/$H$74</f>
        <v>0.62297379426414834</v>
      </c>
      <c r="K75" s="24"/>
    </row>
    <row r="76" spans="1:11" ht="15" customHeight="1" x14ac:dyDescent="0.4">
      <c r="B76" s="35" t="s">
        <v>91</v>
      </c>
      <c r="C76" s="158">
        <f>C74-C75</f>
        <v>354845</v>
      </c>
      <c r="D76" s="205"/>
      <c r="E76" s="159">
        <f>E74-E75</f>
        <v>354845</v>
      </c>
      <c r="F76" s="205"/>
      <c r="H76" s="159">
        <f>H74-H75</f>
        <v>354845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209382</v>
      </c>
      <c r="D77" s="156">
        <f>C77/$C$74</f>
        <v>0.22247037723339511</v>
      </c>
      <c r="E77" s="233">
        <f>Inputs!E93</f>
        <v>209382</v>
      </c>
      <c r="F77" s="157">
        <f>E77/E74</f>
        <v>0.22247037723339511</v>
      </c>
      <c r="H77" s="233">
        <f>Inputs!F93</f>
        <v>209382</v>
      </c>
      <c r="I77" s="157">
        <f>H77/$H$74</f>
        <v>0.22247037723339511</v>
      </c>
      <c r="K77" s="24"/>
    </row>
    <row r="78" spans="1:11" ht="15" customHeight="1" x14ac:dyDescent="0.4">
      <c r="B78" s="73" t="s">
        <v>160</v>
      </c>
      <c r="C78" s="77">
        <f>MAX(Data!C12,0)</f>
        <v>357.33333333333331</v>
      </c>
      <c r="D78" s="156">
        <f>C78/$C$74</f>
        <v>3.796700836974199E-4</v>
      </c>
      <c r="E78" s="177">
        <f>E74*F78</f>
        <v>357.33333333333331</v>
      </c>
      <c r="F78" s="157">
        <f>I78</f>
        <v>3.796700836974199E-4</v>
      </c>
      <c r="H78" s="233">
        <f>Inputs!F97</f>
        <v>357.33333333333331</v>
      </c>
      <c r="I78" s="157">
        <f>H78/$H$74</f>
        <v>3.796700836974199E-4</v>
      </c>
      <c r="K78" s="24"/>
    </row>
    <row r="79" spans="1:11" ht="15" customHeight="1" x14ac:dyDescent="0.4">
      <c r="B79" s="251" t="s">
        <v>216</v>
      </c>
      <c r="C79" s="252">
        <f>C76-C77-C78</f>
        <v>145105.66666666666</v>
      </c>
      <c r="D79" s="253">
        <f>C79/C74</f>
        <v>0.15417615841875909</v>
      </c>
      <c r="E79" s="254">
        <f>E76-E77-E78</f>
        <v>145105.66666666666</v>
      </c>
      <c r="F79" s="253">
        <f>E79/E74</f>
        <v>0.15417615841875909</v>
      </c>
      <c r="G79" s="255"/>
      <c r="H79" s="254">
        <f>H76-H77-H78</f>
        <v>145105.66666666666</v>
      </c>
      <c r="I79" s="253">
        <f>H79/H74</f>
        <v>0.15417615841875909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7947</v>
      </c>
      <c r="D81" s="156">
        <f>C81/$C$74</f>
        <v>8.4437634938714454E-3</v>
      </c>
      <c r="E81" s="177">
        <f>E74*F81</f>
        <v>7947.0000000000009</v>
      </c>
      <c r="F81" s="157">
        <f>I81</f>
        <v>8.4437634938714454E-3</v>
      </c>
      <c r="H81" s="233">
        <f>Inputs!F94</f>
        <v>7947.0000000000009</v>
      </c>
      <c r="I81" s="157">
        <f>H81/$H$74</f>
        <v>8.4437634938714454E-3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137158.66666666666</v>
      </c>
      <c r="D83" s="161">
        <f>C83/$C$74</f>
        <v>0.14573239492488765</v>
      </c>
      <c r="E83" s="162">
        <f>E79-E81-E82-E80</f>
        <v>137158.66666666666</v>
      </c>
      <c r="F83" s="161">
        <f>E83/E74</f>
        <v>0.14573239492488765</v>
      </c>
      <c r="H83" s="162">
        <f>H79-H81-H82-H80</f>
        <v>137158.66666666666</v>
      </c>
      <c r="I83" s="161">
        <f>H83/$H$74</f>
        <v>0.14573239492488765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102869</v>
      </c>
      <c r="D85" s="253">
        <f>C85/$C$74</f>
        <v>0.10929929619366574</v>
      </c>
      <c r="E85" s="259">
        <f>E83*(1-F84)</f>
        <v>102869</v>
      </c>
      <c r="F85" s="253">
        <f>E85/E74</f>
        <v>0.10929929619366574</v>
      </c>
      <c r="G85" s="255"/>
      <c r="H85" s="259">
        <f>H83*(1-I84)</f>
        <v>102869</v>
      </c>
      <c r="I85" s="253">
        <f>H85/$H$74</f>
        <v>0.10929929619366574</v>
      </c>
      <c r="K85" s="24"/>
    </row>
    <row r="86" spans="1:11" ht="15" customHeight="1" x14ac:dyDescent="0.4">
      <c r="B86" s="86" t="s">
        <v>151</v>
      </c>
      <c r="C86" s="164">
        <f>C85*Data!C4/Common_Shares</f>
        <v>5.3913010652667737</v>
      </c>
      <c r="D86" s="204"/>
      <c r="E86" s="165">
        <f>E85*Data!C4/Common_Shares</f>
        <v>5.3913010652667737</v>
      </c>
      <c r="F86" s="204"/>
      <c r="H86" s="165">
        <f>H85*Data!C4/Common_Shares</f>
        <v>5.3913010652667737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6.8506044713119774E-2</v>
      </c>
      <c r="D87" s="204"/>
      <c r="E87" s="257">
        <f>E86*Exchange_Rate/Dashboard!G3</f>
        <v>6.8506044713119774E-2</v>
      </c>
      <c r="F87" s="204"/>
      <c r="H87" s="257">
        <f>H86*Exchange_Rate/Dashboard!G3</f>
        <v>6.8506044713119774E-2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0.9</v>
      </c>
      <c r="D88" s="163">
        <f>C88/C86</f>
        <v>0.16693558551167018</v>
      </c>
      <c r="E88" s="167">
        <f>Inputs!E98</f>
        <v>0.9</v>
      </c>
      <c r="F88" s="163">
        <f>E88/E86</f>
        <v>0.16693558551167018</v>
      </c>
      <c r="H88" s="167">
        <f>Inputs!F98</f>
        <v>0.9</v>
      </c>
      <c r="I88" s="163">
        <f>H88/H86</f>
        <v>0.16693558551167018</v>
      </c>
      <c r="K88" s="24"/>
    </row>
    <row r="89" spans="1:11" ht="15" customHeight="1" x14ac:dyDescent="0.4">
      <c r="B89" s="86" t="s">
        <v>205</v>
      </c>
      <c r="C89" s="256">
        <f>C88*Exchange_Rate/Dashboard!G3</f>
        <v>1.1436096685273308E-2</v>
      </c>
      <c r="D89" s="204"/>
      <c r="E89" s="256">
        <f>E88*Exchange_Rate/Dashboard!G3</f>
        <v>1.1436096685273308E-2</v>
      </c>
      <c r="F89" s="204"/>
      <c r="H89" s="256">
        <f>H88*Exchange_Rate/Dashboard!G3</f>
        <v>1.1436096685273308E-2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142.48546690874036</v>
      </c>
      <c r="H93" s="86" t="s">
        <v>194</v>
      </c>
      <c r="I93" s="142">
        <f>FV(H87,D93,0,-(H86/(C93-D94)))*Exchange_Rate</f>
        <v>142.48546690874036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0.03</v>
      </c>
      <c r="E94" s="86" t="s">
        <v>195</v>
      </c>
      <c r="F94" s="142">
        <f>FV(E89,D93,0,-(E88/(C93-D94)))*Exchange_Rate</f>
        <v>18.07701932246777</v>
      </c>
      <c r="H94" s="86" t="s">
        <v>195</v>
      </c>
      <c r="I94" s="142">
        <f>FV(H89,D93,0,-(H88/(C93-D94)))*Exchange_Rate</f>
        <v>18.07701932246777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1351675.062461959</v>
      </c>
      <c r="D97" s="208"/>
      <c r="E97" s="121">
        <f>PV(C94,D93,0,-F93)</f>
        <v>70.840459265140055</v>
      </c>
      <c r="F97" s="208"/>
      <c r="H97" s="121">
        <f>PV(C94,D93,0,-I93)</f>
        <v>70.840459265140055</v>
      </c>
      <c r="I97" s="121">
        <f>PV(C93,D93,0,-I93)</f>
        <v>94.215340619931268</v>
      </c>
      <c r="K97" s="24"/>
    </row>
    <row r="98" spans="2:11" ht="15" customHeight="1" x14ac:dyDescent="0.4">
      <c r="B98" s="28" t="s">
        <v>138</v>
      </c>
      <c r="C98" s="90">
        <f>-E53*Exchange_Rate</f>
        <v>-166135.54060455554</v>
      </c>
      <c r="D98" s="208"/>
      <c r="E98" s="208"/>
      <c r="F98" s="208"/>
      <c r="H98" s="121">
        <f>C98*Data!$C$4/Common_Shares</f>
        <v>-8.7070615738464614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187897.9351872761</v>
      </c>
      <c r="D99" s="209"/>
      <c r="E99" s="143">
        <f>IF(H99&gt;0,H99*(1-C94),H99*(1+C94))</f>
        <v>8.370473003685273</v>
      </c>
      <c r="F99" s="209"/>
      <c r="H99" s="143">
        <f>C99*Data!$C$4/Common_Shares</f>
        <v>9.8476152984532632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1373437.4570446797</v>
      </c>
      <c r="D100" s="108">
        <f>MIN(F100*(1-C94),E100)</f>
        <v>60.556075566008431</v>
      </c>
      <c r="E100" s="108">
        <f>MAX(E97+H98+E99,0)</f>
        <v>70.503870694978872</v>
      </c>
      <c r="F100" s="108">
        <f>(E100+H100)/2</f>
        <v>71.242441842362865</v>
      </c>
      <c r="H100" s="108">
        <f>MAX(C100*Data!$C$4/Common_Shares,0)</f>
        <v>71.981012989746858</v>
      </c>
      <c r="I100" s="108">
        <f>MAX(I97+H98+H99,0)</f>
        <v>95.355894344538072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171485.95398485381</v>
      </c>
      <c r="D103" s="108">
        <f>MIN(F103*(1-C94),E103)</f>
        <v>7.6393524330683347</v>
      </c>
      <c r="E103" s="121">
        <f>PV(C94,D93,0,-F94)</f>
        <v>8.9874734506686291</v>
      </c>
      <c r="F103" s="108">
        <f>(E103+H103)/2</f>
        <v>8.9874734506686291</v>
      </c>
      <c r="H103" s="121">
        <f>PV(C94,D93,0,-I94)</f>
        <v>8.9874734506686291</v>
      </c>
      <c r="I103" s="108">
        <f>PV(C93,D93,0,-I94)</f>
        <v>11.953026296711432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758369.36037572112</v>
      </c>
      <c r="D106" s="108">
        <f>(D100+D103)/2</f>
        <v>34.097713999538385</v>
      </c>
      <c r="E106" s="121">
        <f>(E100+E103)/2</f>
        <v>39.745672072823751</v>
      </c>
      <c r="F106" s="108">
        <f>(F100+F103)/2</f>
        <v>40.114957646515748</v>
      </c>
      <c r="H106" s="121">
        <f>(H100+H103)/2</f>
        <v>40.484243220207745</v>
      </c>
      <c r="I106" s="121">
        <f>(I100+I103)/2</f>
        <v>53.65446032062475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2024-12-18T02:39:54Z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