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76882E4D-9CC6-4C69-96A8-C1F9415CEE4B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E95" i="4"/>
  <c r="F94" i="4"/>
  <c r="F93" i="4"/>
  <c r="F91" i="4"/>
  <c r="F92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B47" i="4"/>
  <c r="C49" i="3"/>
  <c r="F56" i="2"/>
  <c r="G56" i="2"/>
  <c r="I56" i="2"/>
  <c r="J56" i="2"/>
  <c r="D4" i="3"/>
  <c r="D3" i="3"/>
  <c r="I49" i="3"/>
  <c r="C34" i="2"/>
  <c r="C56" i="2" s="1"/>
  <c r="C30" i="2"/>
  <c r="E34" i="2"/>
  <c r="E56" i="2" s="1"/>
  <c r="F34" i="2"/>
  <c r="G34" i="2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D53" i="4"/>
  <c r="I3" i="3"/>
  <c r="H56" i="2"/>
  <c r="G27" i="2"/>
  <c r="D27" i="2"/>
  <c r="F27" i="2"/>
  <c r="M56" i="2"/>
  <c r="E27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<sst xmlns="http://schemas.openxmlformats.org/spreadsheetml/2006/main" count="392" uniqueCount="276">
  <si>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</si>
  <si>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</si>
  <si>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</si>
  <si>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</si>
  <si>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</si>
  <si>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</si>
  <si>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</si>
  <si>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</si>
  <si>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</si>
  <si>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</si>
  <si>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</si>
  <si>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</si>
  <si>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</si>
  <si>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</si>
  <si>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</si>
  <si>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</si>
  <si>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</si>
  <si>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</si>
  <si>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</si>
  <si>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</si>
  <si>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</si>
  <si>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</si>
  <si>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</si>
  <si>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</si>
  <si>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</si>
  <si>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</si>
  <si>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</si>
  <si>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</si>
  <si>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</si>
  <si>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</si>
  <si>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</si>
  <si>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</si>
  <si>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</si>
  <si>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</si>
  <si>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</si>
  <si>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</si>
  <si>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</si>
  <si>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</si>
  <si>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</si>
  <si>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</si>
  <si>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</si>
  <si>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</si>
  <si>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</si>
  <si>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</si>
  <si>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</si>
  <si>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</si>
  <si>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</si>
  <si>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</si>
  <si>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</si>
  <si>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</si>
  <si>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</si>
  <si>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</si>
  <si>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</si>
  <si>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</si>
  <si>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</si>
  <si>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</si>
  <si>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</si>
  <si>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</si>
  <si>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</si>
  <si>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</si>
  <si>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</si>
  <si>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</si>
  <si>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</si>
  <si>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</si>
  <si>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</si>
  <si>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</si>
  <si>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</si>
  <si>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</si>
  <si>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</si>
  <si>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</si>
  <si>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</si>
  <si>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</si>
  <si>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</si>
  <si>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</si>
  <si>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</si>
  <si>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</si>
  <si>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</si>
  <si>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</si>
  <si>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</si>
  <si>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</si>
  <si>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</si>
  <si>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</si>
  <si>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</si>
  <si>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</si>
  <si>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</si>
  <si>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</si>
  <si>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</si>
  <si>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</si>
  <si>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</si>
  <si>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</si>
  <si>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</si>
  <si>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</si>
  <si>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</si>
  <si>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</si>
  <si>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</si>
  <si>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</si>
  <si>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</si>
  <si>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</si>
  <si>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</si>
  <si>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</si>
  <si>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</si>
  <si>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</si>
  <si>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</si>
  <si>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</si>
  <si>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</si>
  <si>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</si>
  <si>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</si>
  <si>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</si>
  <si>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</si>
  <si>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</si>
  <si>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</si>
  <si>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</si>
  <si>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</si>
  <si>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</si>
  <si>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</si>
  <si>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</si>
  <si>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</si>
  <si>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</si>
  <si>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</si>
  <si>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</si>
  <si>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</si>
  <si>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</si>
  <si>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</si>
  <si>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</si>
  <si>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</si>
  <si>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</si>
  <si>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</si>
  <si>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</si>
  <si>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</si>
  <si>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</si>
  <si>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</si>
  <si>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</si>
  <si>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</si>
  <si>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</si>
  <si>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</si>
  <si>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</si>
  <si>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</si>
  <si>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</si>
  <si>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</si>
  <si>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</si>
  <si>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</si>
  <si>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</si>
  <si>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</si>
  <si>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</si>
  <si>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</si>
  <si>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</si>
  <si>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</si>
  <si>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</si>
  <si>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</si>
  <si>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</si>
  <si>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</si>
  <si>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</si>
  <si>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</si>
  <si>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</si>
  <si>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</si>
  <si>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</si>
  <si>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</si>
  <si>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</si>
  <si>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</si>
  <si>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</si>
  <si>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</si>
  <si>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</si>
  <si>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</si>
  <si>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</si>
  <si>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</si>
  <si>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</si>
  <si>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</si>
  <si>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</si>
  <si>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</si>
  <si>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</si>
  <si>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</si>
  <si>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</si>
  <si>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</si>
  <si>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</si>
  <si>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</si>
  <si>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</si>
  <si>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</si>
  <si>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</si>
  <si>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</si>
  <si>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</si>
  <si>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</si>
  <si>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</si>
  <si>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</si>
  <si>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</si>
  <si>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</si>
  <si>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</si>
  <si>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</si>
  <si>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</si>
  <si>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</si>
  <si>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</si>
  <si>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</si>
  <si>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</si>
  <si>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</si>
  <si>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</si>
  <si>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</si>
  <si>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</si>
  <si>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</si>
  <si>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</si>
  <si>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</si>
  <si>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</si>
  <si>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</si>
  <si>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</si>
  <si>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</si>
  <si>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</si>
  <si>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</si>
  <si>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</si>
  <si>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</si>
  <si>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</si>
  <si>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</si>
  <si>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</si>
  <si>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</si>
  <si>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</si>
  <si>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</si>
  <si>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</si>
  <si>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</si>
  <si>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</si>
  <si>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</si>
  <si>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</si>
  <si>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</si>
  <si>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</si>
  <si>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</si>
  <si>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</si>
  <si>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</si>
  <si>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</si>
  <si>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</si>
  <si>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</si>
  <si>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</si>
  <si>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</si>
  <si>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</si>
  <si>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</si>
  <si>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</si>
  <si>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</si>
  <si>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</si>
  <si>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</si>
  <si>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</si>
  <si>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</si>
  <si>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</si>
  <si>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</si>
  <si>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</si>
  <si>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</si>
  <si>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</si>
  <si>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</si>
  <si>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</si>
  <si>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</si>
  <si>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</si>
  <si>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</si>
  <si>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</si>
  <si>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</si>
  <si>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</si>
  <si>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</si>
  <si>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</si>
  <si>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</si>
  <si>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</si>
  <si>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</si>
  <si>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</si>
  <si>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</si>
  <si>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</si>
  <si>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</si>
  <si>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</si>
  <si>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</si>
  <si>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</si>
  <si>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</si>
  <si>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</si>
  <si>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</si>
  <si>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</si>
  <si>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</si>
  <si>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</si>
  <si>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</si>
  <si>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</si>
  <si>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AMZN</t>
  </si>
  <si>
    <t>Amazon.com, Inc.</t>
  </si>
  <si>
    <t>C0009</t>
  </si>
  <si>
    <t>USD</t>
  </si>
  <si>
    <t>US</t>
  </si>
  <si>
    <t>USD</t>
    <phoneticPr fontId="20" type="noConversion"/>
  </si>
  <si>
    <t xml:space="preserve">Superior Cycl.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</si>
</sst>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11" sqref="D11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45644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275</v>
      </c>
      <c r="E8" s="262"/>
    </row>
    <row r="9" spans="1:5" ht="13.9" x14ac:dyDescent="0.4">
      <c r="B9" s="138" t="s">
        <v>201</v>
      </c>
      <c r="C9" s="189" t="s">
        <v>271</v>
      </c>
    </row>
    <row r="10" spans="1:5" ht="13.9" x14ac:dyDescent="0.4">
      <c r="B10" s="138" t="s">
        <v>202</v>
      </c>
      <c r="C10" s="190">
        <v>10515000320</v>
      </c>
    </row>
    <row r="11" spans="1:5" ht="13.9" x14ac:dyDescent="0.4">
      <c r="B11" s="138" t="s">
        <v>203</v>
      </c>
      <c r="C11" s="189" t="s">
        <v>272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273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574785</v>
      </c>
      <c r="D25" s="147">
        <v>513983</v>
      </c>
      <c r="E25" s="147">
        <v>469822</v>
      </c>
      <c r="F25" s="147">
        <v>386064</v>
      </c>
      <c r="G25" s="147">
        <v>280522</v>
      </c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304739</v>
      </c>
      <c r="D26" s="148">
        <v>288831</v>
      </c>
      <c r="E26" s="148">
        <v>272344</v>
      </c>
      <c r="F26" s="148">
        <v>233307</v>
      </c>
      <c r="G26" s="148">
        <v>165536</v>
      </c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233194</v>
      </c>
      <c r="D27" s="148">
        <v>211804</v>
      </c>
      <c r="E27" s="148">
        <v>172599</v>
      </c>
      <c r="F27" s="148">
        <v>129858</v>
      </c>
      <c r="G27" s="148">
        <v>100445</v>
      </c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3182</v>
      </c>
      <c r="D29" s="148">
        <v>2376</v>
      </c>
      <c r="E29" s="148">
        <v>1809</v>
      </c>
      <c r="F29" s="148">
        <v>1647</v>
      </c>
      <c r="G29" s="148">
        <v>1600</v>
      </c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0</v>
      </c>
      <c r="D30" s="148">
        <v>0</v>
      </c>
      <c r="E30" s="148">
        <v>0</v>
      </c>
      <c r="F30" s="148">
        <v>0</v>
      </c>
      <c r="G30" s="148">
        <v>0</v>
      </c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325979</v>
      </c>
      <c r="D37" s="148">
        <v>316632</v>
      </c>
      <c r="E37" s="148">
        <v>282304</v>
      </c>
      <c r="F37" s="148">
        <v>227791</v>
      </c>
      <c r="G37" s="148">
        <v>163188</v>
      </c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201875</v>
      </c>
      <c r="D41" s="148">
        <v>146043</v>
      </c>
      <c r="E41" s="148">
        <v>138245</v>
      </c>
      <c r="F41" s="148">
        <v>93404</v>
      </c>
      <c r="G41" s="148">
        <v>62060</v>
      </c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0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0.3</v>
      </c>
      <c r="E66" s="216" t="s">
        <v>66</v>
      </c>
    </row>
    <row r="67" spans="2:5" ht="13.9" x14ac:dyDescent="0.4">
      <c r="B67" s="1" t="s">
        <v>44</v>
      </c>
      <c r="C67" s="59"/>
      <c r="D67" s="60">
        <v>0.2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0.03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574785</v>
      </c>
      <c r="D91" s="204"/>
      <c r="E91" s="246">
        <f>C91</f>
        <v>574785</v>
      </c>
      <c r="F91" s="246">
        <f>C91</f>
        <v>574785</v>
      </c>
    </row>
    <row r="92" spans="2:8" ht="13.9" x14ac:dyDescent="0.4">
      <c r="B92" s="103" t="s">
        <v>101</v>
      </c>
      <c r="C92" s="77">
        <f>C26</f>
        <v>304739</v>
      </c>
      <c r="D92" s="156">
        <f>C92/C91</f>
        <v>0.53017911044999433</v>
      </c>
      <c r="E92" s="247">
        <f>E91*D92</f>
        <v>304739</v>
      </c>
      <c r="F92" s="247">
        <f>F91*D92</f>
        <v>304739</v>
      </c>
    </row>
    <row r="93" spans="2:8" ht="13.9" x14ac:dyDescent="0.4">
      <c r="B93" s="103" t="s">
        <v>229</v>
      </c>
      <c r="C93" s="77">
        <f>C27+C28</f>
        <v>233194</v>
      </c>
      <c r="D93" s="156">
        <f>C93/C91</f>
        <v>0.40570648155397238</v>
      </c>
      <c r="E93" s="247">
        <f>E91*D93</f>
        <v>233194</v>
      </c>
      <c r="F93" s="247">
        <f>F91*D93</f>
        <v>233194</v>
      </c>
    </row>
    <row r="94" spans="2:8" ht="13.9" x14ac:dyDescent="0.4">
      <c r="B94" s="103" t="s">
        <v>237</v>
      </c>
      <c r="C94" s="77">
        <f>C29</f>
        <v>3182</v>
      </c>
      <c r="D94" s="156">
        <f>C94/C91</f>
        <v>5.5359830197378151E-3</v>
      </c>
      <c r="E94" s="248"/>
      <c r="F94" s="247">
        <f>F91*D94</f>
        <v>3182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AMZN : Amazon.com, Inc.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AMZN</v>
      </c>
      <c r="D3" s="291"/>
      <c r="E3" s="86"/>
      <c r="F3" s="3" t="s">
        <v>1</v>
      </c>
      <c r="G3" s="130">
        <v>231.15</v>
      </c>
      <c r="H3" s="132" t="s">
        <v>274</v>
      </c>
    </row>
    <row r="4" spans="1:10" ht="15.75" customHeight="1" x14ac:dyDescent="0.4">
      <c r="B4" s="35" t="s">
        <v>180</v>
      </c>
      <c r="C4" s="292" t="str">
        <f>Inputs!C5</f>
        <v>Amazon.com, Inc.</v>
      </c>
      <c r="D4" s="293"/>
      <c r="E4" s="86"/>
      <c r="F4" s="3" t="s">
        <v>2</v>
      </c>
      <c r="G4" s="296">
        <f>Inputs!C10</f>
        <v>10515000320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45644</v>
      </c>
      <c r="D5" s="295"/>
      <c r="E5" s="34"/>
      <c r="F5" s="35" t="s">
        <v>95</v>
      </c>
      <c r="G5" s="288">
        <f>G3*G4/1000000</f>
        <v>2430542.3239679998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USD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C0009</v>
      </c>
      <c r="E7" s="86"/>
      <c r="F7" s="35" t="s">
        <v>5</v>
      </c>
      <c r="G7" s="131">
        <v>1</v>
      </c>
      <c r="H7" s="71" t="str">
        <f>IF(G6=Dashboard!H3,H3,G6&amp;"/"&amp;Dashboard!H3)</f>
        <v>USD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US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>
        <f>C21*C22*C23</f>
        <v>0.18254860681114549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6.4114407996033296E-2</v>
      </c>
      <c r="F21" s="86"/>
      <c r="G21" s="29"/>
    </row>
    <row r="22" spans="1:8" ht="15.75" customHeight="1" x14ac:dyDescent="0.4">
      <c r="B22" s="273" t="s">
        <v>261</v>
      </c>
      <c r="C22" s="274">
        <f>Data!C48</f>
        <v>1.0889090543976174</v>
      </c>
      <c r="F22" s="140" t="s">
        <v>170</v>
      </c>
    </row>
    <row r="23" spans="1:8" ht="15.75" customHeight="1" thickBot="1" x14ac:dyDescent="0.45">
      <c r="B23" s="275" t="s">
        <v>267</v>
      </c>
      <c r="C23" s="282">
        <f>1/Data!C53</f>
        <v>2.6147566563467493</v>
      </c>
      <c r="F23" s="138" t="s">
        <v>174</v>
      </c>
      <c r="G23" s="174">
        <f>G3/(Data!C34*Data!C4/Common_Shares*Exchange_Rate)</f>
        <v>12.039838137302786</v>
      </c>
    </row>
    <row r="24" spans="1:8" ht="15.75" customHeight="1" x14ac:dyDescent="0.4">
      <c r="B24" s="280" t="s">
        <v>255</v>
      </c>
      <c r="C24" s="281">
        <f>Fin_Analysis!I81</f>
        <v>5.5359830197378151E-3</v>
      </c>
      <c r="F24" s="138" t="s">
        <v>240</v>
      </c>
      <c r="G24" s="263">
        <f>G3/(Fin_Analysis!H86*G7)</f>
        <v>96.249572278705074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178</v>
      </c>
      <c r="G26" s="175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23.749625076475049</v>
      </c>
      <c r="D29" s="127">
        <f>G29*(1+G20)</f>
        <v>45.017622307826393</v>
      </c>
      <c r="E29" s="86"/>
      <c r="F29" s="129">
        <f>IF(Fin_Analysis!C108="Profit",Fin_Analysis!F100,IF(Fin_Analysis!C108="Dividend",Fin_Analysis!F103,Fin_Analysis!F106))</f>
        <v>27.940735384088292</v>
      </c>
      <c r="G29" s="287">
        <f>IF(Fin_Analysis!C108="Profit",Fin_Analysis!I100,IF(Fin_Analysis!C108="Dividend",Fin_Analysis!I103,Fin_Analysis!I106))</f>
        <v>39.14575852854469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36852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574785</v>
      </c>
      <c r="D6" s="197">
        <f>IF(Inputs!D25="","",Inputs!D25)</f>
        <v>513983</v>
      </c>
      <c r="E6" s="197">
        <f>IF(Inputs!E25="","",Inputs!E25)</f>
        <v>469822</v>
      </c>
      <c r="F6" s="197">
        <f>IF(Inputs!F25="","",Inputs!F25)</f>
        <v>386064</v>
      </c>
      <c r="G6" s="197">
        <f>IF(Inputs!G25="","",Inputs!G25)</f>
        <v>280522</v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0.1182957412988368</v>
      </c>
      <c r="D7" s="91">
        <f t="shared" si="1"/>
        <v>9.399517263985091E-2</v>
      </c>
      <c r="E7" s="91">
        <f t="shared" si="1"/>
        <v>0.21695366571345676</v>
      </c>
      <c r="F7" s="91">
        <f t="shared" si="1"/>
        <v>0.37623430604373276</v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304739</v>
      </c>
      <c r="D8" s="196">
        <f>IF(Inputs!D26="","",Inputs!D26)</f>
        <v>288831</v>
      </c>
      <c r="E8" s="196">
        <f>IF(Inputs!E26="","",Inputs!E26)</f>
        <v>272344</v>
      </c>
      <c r="F8" s="196">
        <f>IF(Inputs!F26="","",Inputs!F26)</f>
        <v>233307</v>
      </c>
      <c r="G8" s="196">
        <f>IF(Inputs!G26="","",Inputs!G26)</f>
        <v>165536</v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270046</v>
      </c>
      <c r="D9" s="149">
        <f t="shared" si="2"/>
        <v>225152</v>
      </c>
      <c r="E9" s="149">
        <f t="shared" si="2"/>
        <v>197478</v>
      </c>
      <c r="F9" s="149">
        <f t="shared" si="2"/>
        <v>152757</v>
      </c>
      <c r="G9" s="149">
        <f t="shared" si="2"/>
        <v>114986</v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233194</v>
      </c>
      <c r="D10" s="196">
        <f>IF(Inputs!D27="","",Inputs!D27)</f>
        <v>211804</v>
      </c>
      <c r="E10" s="196">
        <f>IF(Inputs!E27="","",Inputs!E27)</f>
        <v>172599</v>
      </c>
      <c r="F10" s="196">
        <f>IF(Inputs!F27="","",Inputs!F27)</f>
        <v>129858</v>
      </c>
      <c r="G10" s="196">
        <f>IF(Inputs!G27="","",Inputs!G27)</f>
        <v>100445</v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>
        <f>IF(Inputs!E30="","",MAX(Inputs!E30,0)/(1-Fin_Analysis!$I$84))</f>
        <v>0</v>
      </c>
      <c r="F12" s="196">
        <f>IF(Inputs!F30="","",MAX(Inputs!F30,0)/(1-Fin_Analysis!$I$84))</f>
        <v>0</v>
      </c>
      <c r="G12" s="196">
        <f>IF(Inputs!G30="","",MAX(Inputs!G30,0)/(1-Fin_Analysis!$I$84))</f>
        <v>0</v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6.4114407996033296E-2</v>
      </c>
      <c r="D13" s="224">
        <f t="shared" si="3"/>
        <v>2.5969730516378946E-2</v>
      </c>
      <c r="E13" s="224">
        <f t="shared" si="3"/>
        <v>5.2954097509269465E-2</v>
      </c>
      <c r="F13" s="224">
        <f t="shared" si="3"/>
        <v>5.9313999751336569E-2</v>
      </c>
      <c r="G13" s="224">
        <f t="shared" si="3"/>
        <v>5.1835506662579051E-2</v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36852</v>
      </c>
      <c r="D14" s="225">
        <f t="shared" ref="D14:M14" si="4">IF(D6="","",D9-D10-MAX(D11,0)-MAX(D12,0))</f>
        <v>13348</v>
      </c>
      <c r="E14" s="225">
        <f t="shared" si="4"/>
        <v>24879</v>
      </c>
      <c r="F14" s="225">
        <f t="shared" si="4"/>
        <v>22899</v>
      </c>
      <c r="G14" s="225">
        <f t="shared" si="4"/>
        <v>14541</v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1.7608630506442913</v>
      </c>
      <c r="D15" s="227">
        <f t="shared" ref="D15:M15" si="5">IF(E14="","",IF(ABS(D14+E14)=ABS(D14)+ABS(E14),IF(D14&lt;0,-1,1)*(D14-E14)/E14,"Turn"))</f>
        <v>-0.4634832589734314</v>
      </c>
      <c r="E15" s="227">
        <f t="shared" si="5"/>
        <v>8.6466657932660812E-2</v>
      </c>
      <c r="F15" s="227">
        <f t="shared" si="5"/>
        <v>0.57478852898700228</v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3182</v>
      </c>
      <c r="D17" s="196">
        <f>IF(Inputs!D29="","",Inputs!D29)</f>
        <v>2376</v>
      </c>
      <c r="E17" s="196">
        <f>IF(Inputs!E29="","",Inputs!E29)</f>
        <v>1809</v>
      </c>
      <c r="F17" s="196">
        <f>IF(Inputs!F29="","",Inputs!F29)</f>
        <v>1647</v>
      </c>
      <c r="G17" s="196">
        <f>IF(Inputs!G29="","",Inputs!G29)</f>
        <v>1600</v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33670</v>
      </c>
      <c r="D22" s="158">
        <f t="shared" ref="D22:M22" si="8">IF(D6="","",D14-MAX(D16,0)-MAX(D17,0)-ABS(MAX(D21,0)-MAX(D19,0)))</f>
        <v>10972</v>
      </c>
      <c r="E22" s="158">
        <f t="shared" si="8"/>
        <v>23070</v>
      </c>
      <c r="F22" s="158">
        <f t="shared" si="8"/>
        <v>21252</v>
      </c>
      <c r="G22" s="158">
        <f t="shared" si="8"/>
        <v>12941</v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4.3933818732221616E-2</v>
      </c>
      <c r="D23" s="151">
        <f t="shared" si="9"/>
        <v>1.6010257148582736E-2</v>
      </c>
      <c r="E23" s="151">
        <f t="shared" si="9"/>
        <v>3.6827777328435021E-2</v>
      </c>
      <c r="F23" s="151">
        <f t="shared" si="9"/>
        <v>4.1285900783289815E-2</v>
      </c>
      <c r="G23" s="151">
        <f t="shared" si="9"/>
        <v>3.459889063959333E-2</v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25252.5</v>
      </c>
      <c r="D24" s="77">
        <f>IF(D6="","",D22*(1-Fin_Analysis!$I$84))</f>
        <v>8229</v>
      </c>
      <c r="E24" s="77">
        <f>IF(E6="","",E22*(1-Fin_Analysis!$I$84))</f>
        <v>17302.5</v>
      </c>
      <c r="F24" s="77">
        <f>IF(F6="","",F22*(1-Fin_Analysis!$I$84))</f>
        <v>15939</v>
      </c>
      <c r="G24" s="77">
        <f>IF(G6="","",G22*(1-Fin_Analysis!$I$84))</f>
        <v>9705.75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2.0687203791469195</v>
      </c>
      <c r="D25" s="228">
        <f t="shared" ref="D25:M25" si="10">IF(E24="","",IF(ABS(D24+E24)=ABS(D24)+ABS(E24),IF(D24&lt;0,-1,1)*(D24-E24)/E24,"Turn"))</f>
        <v>-0.52440398786302556</v>
      </c>
      <c r="E25" s="228">
        <f t="shared" si="10"/>
        <v>8.5544889892715983E-2</v>
      </c>
      <c r="F25" s="228">
        <f t="shared" si="10"/>
        <v>0.64222239394173553</v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527854</v>
      </c>
      <c r="D27" s="65">
        <f>IF(D34="","",D34+D30)</f>
        <v>462675</v>
      </c>
      <c r="E27" s="65">
        <f t="shared" ref="E27:M27" si="20">IF(E34="","",E34+E30)</f>
        <v>420549</v>
      </c>
      <c r="F27" s="65">
        <f t="shared" si="20"/>
        <v>321195</v>
      </c>
      <c r="G27" s="65">
        <f t="shared" si="20"/>
        <v>225248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325979</v>
      </c>
      <c r="D30" s="196">
        <f>IF(Inputs!D37="","",Inputs!D37)</f>
        <v>316632</v>
      </c>
      <c r="E30" s="196">
        <f>IF(Inputs!E37="","",Inputs!E37)</f>
        <v>282304</v>
      </c>
      <c r="F30" s="196">
        <f>IF(Inputs!F37="","",Inputs!F37)</f>
        <v>227791</v>
      </c>
      <c r="G30" s="196">
        <f>IF(Inputs!G37="","",Inputs!G37)</f>
        <v>163188</v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201875</v>
      </c>
      <c r="D34" s="196">
        <f>IF(Inputs!D41="","",Inputs!D41)</f>
        <v>146043</v>
      </c>
      <c r="E34" s="196">
        <f>IF(Inputs!E41="","",Inputs!E41)</f>
        <v>138245</v>
      </c>
      <c r="F34" s="196">
        <f>IF(Inputs!F41="","",Inputs!F41)</f>
        <v>93404</v>
      </c>
      <c r="G34" s="196">
        <f>IF(Inputs!G41="","",Inputs!G41)</f>
        <v>62060</v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527854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6.9814759384223671E-2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0.53017911044999433</v>
      </c>
      <c r="D40" s="154">
        <f t="shared" si="34"/>
        <v>0.56194660134673713</v>
      </c>
      <c r="E40" s="154">
        <f t="shared" si="34"/>
        <v>0.57967485558360399</v>
      </c>
      <c r="F40" s="154">
        <f t="shared" si="34"/>
        <v>0.60432208131294296</v>
      </c>
      <c r="G40" s="154">
        <f t="shared" si="34"/>
        <v>0.59009988521399392</v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0.40570648155397238</v>
      </c>
      <c r="D41" s="151">
        <f t="shared" si="35"/>
        <v>0.41208366813688391</v>
      </c>
      <c r="E41" s="151">
        <f t="shared" si="35"/>
        <v>0.36737104690712652</v>
      </c>
      <c r="F41" s="151">
        <f t="shared" si="35"/>
        <v>0.33636391893572049</v>
      </c>
      <c r="G41" s="151">
        <f t="shared" si="35"/>
        <v>0.35806460812342705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5.5359830197378151E-3</v>
      </c>
      <c r="D43" s="151">
        <f t="shared" si="37"/>
        <v>4.6227209849352994E-3</v>
      </c>
      <c r="E43" s="151">
        <f t="shared" si="37"/>
        <v>3.8503944046894356E-3</v>
      </c>
      <c r="F43" s="151">
        <f t="shared" si="37"/>
        <v>4.2661320402834759E-3</v>
      </c>
      <c r="G43" s="151">
        <f t="shared" si="37"/>
        <v>5.7036524764546093E-3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5.8578424976295486E-2</v>
      </c>
      <c r="D46" s="151">
        <f t="shared" si="40"/>
        <v>2.1347009531443646E-2</v>
      </c>
      <c r="E46" s="151">
        <f t="shared" si="40"/>
        <v>4.9103703104580031E-2</v>
      </c>
      <c r="F46" s="151">
        <f t="shared" si="40"/>
        <v>5.5047867711053092E-2</v>
      </c>
      <c r="G46" s="151">
        <f t="shared" si="40"/>
        <v>4.6131854186124442E-2</v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1.0889090543976174</v>
      </c>
      <c r="D48" s="267">
        <f t="shared" si="41"/>
        <v>1.1108942562273734</v>
      </c>
      <c r="E48" s="267">
        <f t="shared" si="41"/>
        <v>1.1171635172120253</v>
      </c>
      <c r="F48" s="267">
        <f t="shared" si="41"/>
        <v>1.2019614253023865</v>
      </c>
      <c r="G48" s="267">
        <f t="shared" si="41"/>
        <v>1.2453917459866459</v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0.38244476692418738</v>
      </c>
      <c r="D53" s="154" t="e">
        <f t="shared" si="45"/>
        <v>#VALUE!</v>
      </c>
      <c r="E53" s="154" t="e">
        <f t="shared" si="45"/>
        <v>#VALUE!</v>
      </c>
      <c r="F53" s="154" t="e">
        <f t="shared" si="45"/>
        <v>#VALUE!</v>
      </c>
      <c r="G53" s="154" t="e">
        <f t="shared" si="45"/>
        <v>#VALUE!</v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9.4505494505494503E-2</v>
      </c>
      <c r="D55" s="151">
        <f t="shared" si="47"/>
        <v>0.21655122129055779</v>
      </c>
      <c r="E55" s="151">
        <f t="shared" si="47"/>
        <v>7.841352405721716E-2</v>
      </c>
      <c r="F55" s="151">
        <f t="shared" si="47"/>
        <v>7.7498588368153584E-2</v>
      </c>
      <c r="G55" s="151">
        <f t="shared" si="47"/>
        <v>0.1236380496097674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>Error</v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0.18254860681114551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e">
        <f t="shared" si="49"/>
        <v>#VALUE!</v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0.16678637770897833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e">
        <f t="shared" si="50"/>
        <v>#VALUE!</v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201875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201875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-325979</v>
      </c>
      <c r="E6" s="56">
        <f>1-D6/D3</f>
        <v>2.6147566563467493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USD</v>
      </c>
      <c r="C7" s="86"/>
      <c r="D7" s="66">
        <f>MAX((D6*Exchange_Rate*Data!C4)/Common_Shares, 0)</f>
        <v>0</v>
      </c>
      <c r="E7" s="11" t="str">
        <f>Dashboard!H3</f>
        <v>USD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325979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325979</v>
      </c>
      <c r="J48" s="8"/>
    </row>
    <row r="49" spans="2:11" ht="15" customHeight="1" thickTop="1" x14ac:dyDescent="0.4">
      <c r="B49" s="3" t="s">
        <v>13</v>
      </c>
      <c r="C49" s="61">
        <f>Inputs!C41+Inputs!C37</f>
        <v>527854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325979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527854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325979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201875</v>
      </c>
      <c r="D70" s="29">
        <f t="shared" si="2"/>
        <v>-1.6147566563467493</v>
      </c>
      <c r="E70" s="68">
        <f>E68-E69</f>
        <v>-325979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574785</v>
      </c>
      <c r="D74" s="204"/>
      <c r="E74" s="233">
        <f>Inputs!E91</f>
        <v>574785</v>
      </c>
      <c r="F74" s="204"/>
      <c r="H74" s="233">
        <f>Inputs!F91</f>
        <v>574785</v>
      </c>
      <c r="I74" s="204"/>
      <c r="K74" s="24"/>
    </row>
    <row r="75" spans="1:11" ht="15" customHeight="1" x14ac:dyDescent="0.4">
      <c r="B75" s="103" t="s">
        <v>101</v>
      </c>
      <c r="C75" s="77">
        <f>Data!C8</f>
        <v>304739</v>
      </c>
      <c r="D75" s="156">
        <f>C75/$C$74</f>
        <v>0.53017911044999433</v>
      </c>
      <c r="E75" s="233">
        <f>Inputs!E92</f>
        <v>304739</v>
      </c>
      <c r="F75" s="157">
        <f>E75/E74</f>
        <v>0.53017911044999433</v>
      </c>
      <c r="H75" s="233">
        <f>Inputs!F92</f>
        <v>304739</v>
      </c>
      <c r="I75" s="157">
        <f>H75/$H$74</f>
        <v>0.53017911044999433</v>
      </c>
      <c r="K75" s="24"/>
    </row>
    <row r="76" spans="1:11" ht="15" customHeight="1" x14ac:dyDescent="0.4">
      <c r="B76" s="35" t="s">
        <v>91</v>
      </c>
      <c r="C76" s="158">
        <f>C74-C75</f>
        <v>270046</v>
      </c>
      <c r="D76" s="205"/>
      <c r="E76" s="159">
        <f>E74-E75</f>
        <v>270046</v>
      </c>
      <c r="F76" s="205"/>
      <c r="H76" s="159">
        <f>H74-H75</f>
        <v>270046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233194</v>
      </c>
      <c r="D77" s="156">
        <f>C77/$C$74</f>
        <v>0.40570648155397238</v>
      </c>
      <c r="E77" s="233">
        <f>Inputs!E93</f>
        <v>233194</v>
      </c>
      <c r="F77" s="157">
        <f>E77/E74</f>
        <v>0.40570648155397238</v>
      </c>
      <c r="H77" s="233">
        <f>Inputs!F93</f>
        <v>233194</v>
      </c>
      <c r="I77" s="157">
        <f>H77/$H$74</f>
        <v>0.40570648155397238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36852</v>
      </c>
      <c r="D79" s="253">
        <f>C79/C74</f>
        <v>6.4114407996033296E-2</v>
      </c>
      <c r="E79" s="254">
        <f>E76-E77-E78</f>
        <v>36852</v>
      </c>
      <c r="F79" s="253">
        <f>E79/E74</f>
        <v>6.4114407996033296E-2</v>
      </c>
      <c r="G79" s="255"/>
      <c r="H79" s="254">
        <f>H76-H77-H78</f>
        <v>36852</v>
      </c>
      <c r="I79" s="253">
        <f>H79/H74</f>
        <v>6.4114407996033296E-2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3182</v>
      </c>
      <c r="D81" s="156">
        <f>C81/$C$74</f>
        <v>5.5359830197378151E-3</v>
      </c>
      <c r="E81" s="177">
        <f>E74*F81</f>
        <v>3182</v>
      </c>
      <c r="F81" s="157">
        <f>I81</f>
        <v>5.5359830197378151E-3</v>
      </c>
      <c r="H81" s="233">
        <f>Inputs!F94</f>
        <v>3182</v>
      </c>
      <c r="I81" s="157">
        <f>H81/$H$74</f>
        <v>5.5359830197378151E-3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33670</v>
      </c>
      <c r="D83" s="161">
        <f>C83/$C$74</f>
        <v>5.8578424976295486E-2</v>
      </c>
      <c r="E83" s="162">
        <f>E79-E81-E82-E80</f>
        <v>33670</v>
      </c>
      <c r="F83" s="161">
        <f>E83/E74</f>
        <v>5.8578424976295486E-2</v>
      </c>
      <c r="H83" s="162">
        <f>H79-H81-H82-H80</f>
        <v>33670</v>
      </c>
      <c r="I83" s="161">
        <f>H83/$H$74</f>
        <v>5.8578424976295486E-2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25252.5</v>
      </c>
      <c r="D85" s="253">
        <f>C85/$C$74</f>
        <v>4.3933818732221616E-2</v>
      </c>
      <c r="E85" s="259">
        <f>E83*(1-F84)</f>
        <v>25252.5</v>
      </c>
      <c r="F85" s="253">
        <f>E85/E74</f>
        <v>4.3933818732221616E-2</v>
      </c>
      <c r="G85" s="255"/>
      <c r="H85" s="259">
        <f>H83*(1-I84)</f>
        <v>25252.5</v>
      </c>
      <c r="I85" s="253">
        <f>H85/$H$74</f>
        <v>4.3933818732221616E-2</v>
      </c>
      <c r="K85" s="24"/>
    </row>
    <row r="86" spans="1:11" ht="15" customHeight="1" x14ac:dyDescent="0.4">
      <c r="B86" s="86" t="s">
        <v>151</v>
      </c>
      <c r="C86" s="164">
        <f>C85*Data!C4/Common_Shares</f>
        <v>2.4015691137896229</v>
      </c>
      <c r="D86" s="204"/>
      <c r="E86" s="165">
        <f>E85*Data!C4/Common_Shares</f>
        <v>2.4015691137896229</v>
      </c>
      <c r="F86" s="204"/>
      <c r="H86" s="165">
        <f>H85*Data!C4/Common_Shares</f>
        <v>2.4015691137896229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1.0389656559764754E-2</v>
      </c>
      <c r="D87" s="204"/>
      <c r="E87" s="257">
        <f>E86*Exchange_Rate/Dashboard!G3</f>
        <v>1.0389656559764754E-2</v>
      </c>
      <c r="F87" s="204"/>
      <c r="H87" s="257">
        <f>H86*Exchange_Rate/Dashboard!G3</f>
        <v>1.0389656559764754E-2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</v>
      </c>
      <c r="D88" s="163">
        <f>C88/C86</f>
        <v>0</v>
      </c>
      <c r="E88" s="167">
        <f>Inputs!E98</f>
        <v>0</v>
      </c>
      <c r="F88" s="163">
        <f>E88/E86</f>
        <v>0</v>
      </c>
      <c r="H88" s="167">
        <f>Inputs!F98</f>
        <v>0</v>
      </c>
      <c r="I88" s="163">
        <f>H88/H86</f>
        <v>0</v>
      </c>
      <c r="K88" s="24"/>
    </row>
    <row r="89" spans="1:11" ht="15" customHeight="1" x14ac:dyDescent="0.4">
      <c r="B89" s="86" t="s">
        <v>205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USD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US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US Discount Rate</v>
      </c>
      <c r="C93" s="134">
        <f>IF(C92="CN",Dashboard!C17,IF(C92="US",Dashboard!C12,IF(C92="HK",Dashboard!D12,Dashboard!D17)))</f>
        <v>7.4999999999999997E-2</v>
      </c>
      <c r="D93" s="234">
        <f>Inputs!C86</f>
        <v>5</v>
      </c>
      <c r="E93" s="86" t="s">
        <v>194</v>
      </c>
      <c r="F93" s="142">
        <f>FV(E87,D93,0,-(E86/(C93-D94)))*Exchange_Rate</f>
        <v>56.19879893882154</v>
      </c>
      <c r="H93" s="86" t="s">
        <v>194</v>
      </c>
      <c r="I93" s="142">
        <f>FV(H87,D93,0,-(H86/(C93-D94)))*Exchange_Rate</f>
        <v>56.19879893882154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0.03</v>
      </c>
      <c r="E94" s="86" t="s">
        <v>195</v>
      </c>
      <c r="F94" s="142">
        <f>FV(E89,D93,0,-(E88/(C93-D94)))*Exchange_Rate</f>
        <v>0</v>
      </c>
      <c r="H94" s="86" t="s">
        <v>195</v>
      </c>
      <c r="I94" s="142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USD</v>
      </c>
      <c r="C96" s="125" t="str">
        <f>Dashboard!H3</f>
        <v>USD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293796.84150472371</v>
      </c>
      <c r="D97" s="208"/>
      <c r="E97" s="121">
        <f>PV(C94,D93,0,-F93)</f>
        <v>27.940735384088292</v>
      </c>
      <c r="F97" s="208"/>
      <c r="H97" s="121">
        <f>PV(C94,D93,0,-I93)</f>
        <v>27.940735384088292</v>
      </c>
      <c r="I97" s="121">
        <f>PV(C93,D93,0,-I93)</f>
        <v>39.14575852854469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293796.84150472371</v>
      </c>
      <c r="D100" s="108">
        <f>MIN(F100*(1-C94),E100)</f>
        <v>23.749625076475049</v>
      </c>
      <c r="E100" s="108">
        <f>MAX(E97+H98+E99,0)</f>
        <v>27.940735384088292</v>
      </c>
      <c r="F100" s="108">
        <f>(E100+H100)/2</f>
        <v>27.940735384088292</v>
      </c>
      <c r="H100" s="108">
        <f>MAX(C100*Data!$C$4/Common_Shares,0)</f>
        <v>27.940735384088288</v>
      </c>
      <c r="I100" s="108">
        <f>MAX(I97+H98+H99,0)</f>
        <v>39.14575852854469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USD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0</v>
      </c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USD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146898.42075236185</v>
      </c>
      <c r="D106" s="108">
        <f>(D100+D103)/2</f>
        <v>11.874812538237524</v>
      </c>
      <c r="E106" s="121">
        <f>(E100+E103)/2</f>
        <v>13.970367692044146</v>
      </c>
      <c r="F106" s="108">
        <f>(F100+F103)/2</f>
        <v>13.970367692044146</v>
      </c>
      <c r="H106" s="121">
        <f>(H100+H103)/2</f>
        <v>13.970367692044144</v>
      </c>
      <c r="I106" s="121">
        <f>(I100+I103)/2</f>
        <v>19.572879264272345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2024-12-18T02:34:51Z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