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60B34C4-D1AA-43F8-A790-749F668DAB77}" xr6:coauthVersionLast="47" xr6:coauthVersionMax="47" xr10:uidLastSave="{00000000-0000-0000-0000-000000000000}"/>
  <bookViews>
    <workbookView xWindow="1837" yWindow="1837" windowWidth="12691" windowHeight="7643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E87" i="3"/>
  <c r="C87" i="3"/>
  <c r="E18" i="2"/>
  <c r="D18" i="2"/>
  <c r="C18" i="2"/>
  <c r="C8" i="2"/>
  <c r="E6" i="2"/>
  <c r="D6" i="2"/>
  <c r="C6" i="2"/>
  <c r="C103" i="3" l="1"/>
  <c r="C92" i="3" l="1"/>
  <c r="D101" i="3" l="1"/>
  <c r="B92" i="3"/>
  <c r="G26" i="1" l="1"/>
  <c r="D45" i="2"/>
  <c r="C82" i="3"/>
  <c r="E42" i="2"/>
  <c r="C94" i="3"/>
  <c r="C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<sst xmlns="http://schemas.openxmlformats.org/spreadsheetml/2006/main" count="254" uniqueCount="232">
  <si>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</si>
  <si>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</si>
  <si>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</si>
  <si>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</si>
  <si>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</si>
  <si>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</si>
  <si>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</si>
  <si>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</si>
  <si>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</si>
  <si>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</si>
  <si>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</si>
  <si>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</si>
  <si>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</si>
  <si>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</si>
  <si>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</si>
  <si>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</si>
  <si>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</si>
  <si>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</si>
  <si>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</si>
  <si>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</si>
  <si>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</si>
  <si>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</si>
  <si>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</si>
  <si>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</si>
  <si>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</si>
  <si>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</si>
  <si>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</si>
  <si>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</si>
  <si>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</si>
  <si>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</si>
  <si>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</si>
  <si>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</si>
  <si>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</si>
  <si>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</si>
  <si>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</si>
  <si>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</si>
  <si>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</si>
  <si>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</si>
  <si>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</si>
  <si>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</si>
  <si>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</si>
  <si>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</si>
  <si>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</si>
  <si>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</si>
  <si>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</si>
  <si>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</si>
  <si>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</si>
  <si>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</si>
  <si>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</si>
  <si>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</si>
  <si>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</si>
  <si>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</si>
  <si>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</si>
  <si>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</si>
  <si>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</si>
  <si>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</si>
  <si>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</si>
  <si>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</si>
  <si>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</si>
  <si>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</si>
  <si>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</si>
  <si>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</si>
  <si>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</si>
  <si>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</si>
  <si>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</si>
  <si>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</si>
  <si>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</si>
  <si>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</si>
  <si>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</si>
  <si>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</si>
  <si>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</si>
  <si>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</si>
  <si>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</si>
  <si>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</si>
  <si>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</si>
  <si>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</si>
  <si>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</si>
  <si>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</si>
  <si>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</si>
  <si>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</si>
  <si>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</si>
  <si>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</si>
  <si>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</si>
  <si>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</si>
  <si>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</si>
  <si>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</si>
  <si>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</si>
  <si>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</si>
  <si>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</si>
  <si>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</si>
  <si>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</si>
  <si>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</si>
  <si>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</si>
  <si>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</si>
  <si>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</si>
  <si>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</si>
  <si>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</si>
  <si>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</si>
  <si>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</si>
  <si>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</si>
  <si>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</si>
  <si>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</si>
  <si>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</si>
  <si>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</si>
  <si>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</si>
  <si>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</si>
  <si>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</si>
  <si>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</si>
  <si>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</si>
  <si>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</si>
  <si>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</si>
  <si>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</si>
  <si>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</si>
  <si>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</si>
  <si>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</si>
  <si>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</si>
  <si>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</si>
  <si>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</si>
  <si>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</si>
  <si>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</si>
  <si>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</si>
  <si>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</si>
  <si>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</si>
  <si>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</si>
  <si>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</si>
  <si>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</si>
  <si>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</si>
  <si>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</si>
  <si>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</si>
  <si>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</si>
  <si>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</si>
  <si>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</si>
  <si>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</si>
  <si>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</si>
  <si>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</si>
  <si>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</si>
  <si>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</si>
  <si>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</si>
  <si>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</si>
  <si>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</si>
  <si>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</si>
  <si>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</si>
  <si>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</si>
  <si>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</si>
  <si>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</si>
  <si>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</si>
  <si>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</si>
  <si>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</si>
  <si>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</si>
  <si>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</si>
  <si>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</si>
  <si>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</si>
  <si>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</si>
  <si>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</si>
  <si>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</si>
  <si>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</si>
  <si>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</si>
  <si>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</si>
  <si>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</si>
  <si>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</si>
  <si>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</si>
  <si>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</si>
  <si>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</si>
  <si>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</si>
  <si>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</si>
  <si>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</si>
  <si>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</si>
  <si>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</si>
  <si>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</si>
  <si>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</si>
  <si>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</si>
  <si>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</si>
  <si>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</si>
  <si>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</si>
  <si>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</si>
  <si>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</si>
  <si>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</si>
  <si>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</si>
  <si>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</si>
  <si>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</si>
  <si>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</si>
  <si>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</si>
  <si>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</si>
  <si>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</si>
  <si>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</si>
  <si>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</si>
  <si>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</si>
  <si>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</si>
  <si>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</si>
  <si>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</si>
  <si>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</si>
  <si>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</si>
  <si>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</si>
  <si>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</si>
  <si>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</si>
  <si>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</si>
  <si>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</si>
  <si>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</si>
  <si>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</si>
  <si>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</si>
  <si>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</si>
  <si>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</si>
  <si>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</si>
  <si>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</si>
  <si>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</si>
  <si>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</si>
  <si>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</si>
  <si>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</si>
  <si>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</si>
  <si>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</si>
  <si>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</si>
  <si>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</si>
  <si>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</si>
  <si>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</si>
  <si>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</si>
  <si>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</si>
  <si>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</si>
  <si>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</si>
  <si>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</si>
  <si>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</si>
  <si>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</si>
  <si>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</si>
  <si>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</si>
  <si>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</si>
  <si>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</si>
  <si>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</si>
  <si>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HSBC</t>
    <phoneticPr fontId="20" type="noConversion"/>
  </si>
  <si>
    <t>0005.HK</t>
    <phoneticPr fontId="20" type="noConversion"/>
  </si>
  <si>
    <t>USD</t>
    <phoneticPr fontId="20" type="noConversion"/>
  </si>
  <si>
    <t>C0014</t>
    <phoneticPr fontId="20" type="noConversion"/>
  </si>
  <si>
    <t>Dividend</t>
  </si>
  <si>
    <t>UK Tax 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</si>
</sst>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5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5" sqref="C1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1" t="s">
        <v>227</v>
      </c>
      <c r="D3" s="202"/>
      <c r="E3" s="94"/>
      <c r="F3" s="3" t="s">
        <v>1</v>
      </c>
      <c r="G3" s="169">
        <v>71.400001525878906</v>
      </c>
      <c r="H3" s="171" t="s">
        <v>2</v>
      </c>
    </row>
    <row r="4" spans="1:10" ht="15.75" customHeight="1" x14ac:dyDescent="0.4">
      <c r="B4" s="35" t="s">
        <v>217</v>
      </c>
      <c r="C4" s="203" t="s">
        <v>226</v>
      </c>
      <c r="D4" s="204"/>
      <c r="E4" s="94"/>
      <c r="F4" s="3" t="s">
        <v>3</v>
      </c>
      <c r="G4" s="207">
        <v>18208334222</v>
      </c>
      <c r="H4" s="207"/>
      <c r="I4" s="39"/>
    </row>
    <row r="5" spans="1:10" ht="15.75" customHeight="1" x14ac:dyDescent="0.4">
      <c r="B5" s="3" t="s">
        <v>178</v>
      </c>
      <c r="C5" s="205">
        <v>45593</v>
      </c>
      <c r="D5" s="206"/>
      <c r="E5" s="34"/>
      <c r="F5" s="35" t="s">
        <v>102</v>
      </c>
      <c r="G5" s="199">
        <f>G3*G4/1000000</f>
        <v>1300075.0912345131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214</v>
      </c>
      <c r="C7" s="186" t="s">
        <v>46</v>
      </c>
      <c r="D7" s="192" t="s">
        <v>229</v>
      </c>
      <c r="E7" s="94"/>
      <c r="F7" s="35" t="s">
        <v>6</v>
      </c>
      <c r="G7" s="170">
        <v>7.7738432884216309</v>
      </c>
      <c r="H7" s="77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77" t="s">
        <v>212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3.237354486453075E-2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0.27531678170392498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0.55863466227121317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9.9999999999999985E-3</v>
      </c>
      <c r="F23" s="178" t="s">
        <v>209</v>
      </c>
      <c r="G23" s="184">
        <f>G3/(Data!C34*Data!E3/Common_Shares*Exchange_Rate)</f>
        <v>1.3000500375770982E-2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6.5898725159799956E-2</v>
      </c>
    </row>
    <row r="25" spans="1:8" ht="15.75" customHeight="1" x14ac:dyDescent="0.4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0.66087684937681535</v>
      </c>
    </row>
    <row r="26" spans="1:8" ht="15.75" customHeight="1" x14ac:dyDescent="0.4">
      <c r="B26" s="176" t="s">
        <v>191</v>
      </c>
      <c r="C26" s="175">
        <f>Fin_Analysis!F83</f>
        <v>0.12367501116033103</v>
      </c>
      <c r="F26" s="180" t="s">
        <v>215</v>
      </c>
      <c r="G26" s="179">
        <f>Fin_Analysis!E87*Exchange_Rate/G3</f>
        <v>4.3550941861557266E-2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36.439890414476395</v>
      </c>
      <c r="D29" s="165">
        <f>IF(Fin_Analysis!C106="Profit",Fin_Analysis!F98,IF(Fin_Analysis!C106="Dividend",Fin_Analysis!F101,Fin_Analysis!F104))</f>
        <v>60.733150690793991</v>
      </c>
      <c r="E29" s="94"/>
      <c r="F29" s="167">
        <f>IF(Fin_Analysis!C106="Profit",Fin_Analysis!D98,IF(Fin_Analysis!C106="Dividend",Fin_Analysis!D101,Fin_Analysis!D104))</f>
        <v>48.586520552635193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0" zoomScaleNormal="100" workbookViewId="0">
      <pane xSplit="2" topLeftCell="C1" activePane="topRight" state="frozen"/>
      <selection activeCell="A4" sqref="A4"/>
      <selection pane="topRight" activeCell="C17" sqref="C17:E1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f>100868+15616</f>
        <v>116484</v>
      </c>
      <c r="D6" s="58">
        <f>52826+15124</f>
        <v>67950</v>
      </c>
      <c r="E6" s="58">
        <f>36188+16788</f>
        <v>52976</v>
      </c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0.71426048565121403</v>
      </c>
      <c r="D7" s="103">
        <f t="shared" si="1"/>
        <v>0.28265629719118102</v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3771</f>
        <v>3771</v>
      </c>
      <c r="D8" s="92">
        <v>3354</v>
      </c>
      <c r="E8" s="92">
        <v>3691</v>
      </c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112713</v>
      </c>
      <c r="D9" s="101">
        <f t="shared" si="2"/>
        <v>64596</v>
      </c>
      <c r="E9" s="101">
        <f t="shared" si="2"/>
        <v>49285</v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32070</v>
      </c>
      <c r="D10" s="92">
        <v>32701</v>
      </c>
      <c r="E10" s="92">
        <v>34620</v>
      </c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>
        <f t="shared" si="3"/>
        <v>0</v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80643</v>
      </c>
      <c r="D13" s="101">
        <f t="shared" ref="D13:M13" si="4">IF(D6="","",(D9-D10+D12))</f>
        <v>31895</v>
      </c>
      <c r="E13" s="101">
        <f t="shared" si="4"/>
        <v>14665</v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65072</v>
      </c>
      <c r="D17" s="92">
        <v>22449</v>
      </c>
      <c r="E17" s="92">
        <v>9699</v>
      </c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f>1101+1026</f>
        <v>2127</v>
      </c>
      <c r="D18" s="92">
        <f>1213+609</f>
        <v>1822</v>
      </c>
      <c r="E18" s="92">
        <f>1303+776</f>
        <v>2079</v>
      </c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12790.607843137255</v>
      </c>
      <c r="D19" s="95">
        <f>IF(D6="","",D13-D14-MAX(D15,0)-MAX(D16,0)-D17-MAX(D18/(1-Fin_Analysis!$F$84),0))</f>
        <v>7064.3006535947716</v>
      </c>
      <c r="E19" s="95">
        <f>IF(E6="","",E13-E14-MAX(E15,0)-MAX(E16,0)-E17-MAX(E18/(1-Fin_Analysis!$F$84),0))</f>
        <v>2248.3529411764707</v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0.81059788793510212</v>
      </c>
      <c r="D20" s="57">
        <f t="shared" ref="D20:M20" si="5">IF(E19="","",IF(ABS(D19+E19)=ABS(D19)+ABS(E19),IF(D19&lt;0,-1,1)*(D19-E19)/E19,"Turn"))</f>
        <v>2.1419891976116143</v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8.4001364994333985E-2</v>
      </c>
      <c r="D21" s="56">
        <f t="shared" si="6"/>
        <v>7.9531861662987494E-2</v>
      </c>
      <c r="E21" s="56">
        <f t="shared" si="6"/>
        <v>3.2467343702808821E-2</v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9784.8150000000005</v>
      </c>
      <c r="D22" s="95">
        <f>IF(D6="","",D19*(1-Fin_Analysis!$F$84))</f>
        <v>5404.1900000000005</v>
      </c>
      <c r="E22" s="95">
        <f>IF(E6="","",E19*(1-Fin_Analysis!$F$84))</f>
        <v>1719.9900000000002</v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0.81059788793510212</v>
      </c>
      <c r="D23" s="80">
        <f t="shared" ref="D23:M23" si="7">IF(E22="","",IF(ABS(D22+E22)=ABS(D22)+ABS(E22),IF(D22&lt;0,-1,1)*(D22-E22)/E22,"Turn"))</f>
        <v>2.1419891976116139</v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>
        <f t="shared" si="17"/>
        <v>0</v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>
        <f t="shared" si="18"/>
        <v>0</v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>
        <f t="shared" si="19"/>
        <v>0</v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9.1819803141216926E-4</v>
      </c>
      <c r="D38" s="104" t="e">
        <f t="shared" ref="D38:M38" si="20">IF(D6="","",D19/D37)</f>
        <v>#DIV/0!</v>
      </c>
      <c r="E38" s="104" t="e">
        <f t="shared" si="20"/>
        <v>#DIV/0!</v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3.237354486453075E-2</v>
      </c>
      <c r="D40" s="61">
        <f t="shared" si="21"/>
        <v>4.9359823399558501E-2</v>
      </c>
      <c r="E40" s="61">
        <f t="shared" si="21"/>
        <v>6.9673059498640888E-2</v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0.27531678170392498</v>
      </c>
      <c r="D41" s="56">
        <f t="shared" si="22"/>
        <v>0.48125091979396617</v>
      </c>
      <c r="E41" s="56">
        <f t="shared" si="22"/>
        <v>0.65350347327091518</v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>
        <f t="shared" si="23"/>
        <v>0</v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0.55863466227121317</v>
      </c>
      <c r="D44" s="56">
        <f t="shared" si="25"/>
        <v>0.33037527593818983</v>
      </c>
      <c r="E44" s="56">
        <f t="shared" si="25"/>
        <v>0.18308290546662639</v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2.3869305285384647E-2</v>
      </c>
      <c r="D45" s="56">
        <f>IF(D6="","",MAX(D18,0)/(1-Fin_Analysis!$F$84)/D6)</f>
        <v>3.5050763008171136E-2</v>
      </c>
      <c r="E45" s="56">
        <f>IF(E6="","",MAX(E18,0)/(1-Fin_Analysis!$F$84)/E6)</f>
        <v>5.1299589603283173E-2</v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0.1098057058749464</v>
      </c>
      <c r="D46" s="56">
        <f t="shared" si="26"/>
        <v>0.10396321786011437</v>
      </c>
      <c r="E46" s="56">
        <f t="shared" si="26"/>
        <v>4.2440972160534406E-2</v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2.2816266611723499</v>
      </c>
      <c r="D48" s="61">
        <f t="shared" si="27"/>
        <v>0</v>
      </c>
      <c r="E48" s="61">
        <f t="shared" si="27"/>
        <v>0</v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83.035060609182381</v>
      </c>
      <c r="D49" s="56">
        <f t="shared" si="28"/>
        <v>0</v>
      </c>
      <c r="E49" s="56">
        <f t="shared" si="28"/>
        <v>0</v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1.3198208104013504E-2</v>
      </c>
      <c r="D52" s="60" t="str">
        <f t="shared" si="30"/>
        <v>-</v>
      </c>
      <c r="E52" s="60" t="str">
        <f t="shared" si="30"/>
        <v>-</v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5.0874830030000568</v>
      </c>
      <c r="D53" s="56">
        <f t="shared" si="31"/>
        <v>3.1778092554110788</v>
      </c>
      <c r="E53" s="56">
        <f t="shared" si="31"/>
        <v>4.3138244989796446</v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">
    <cfRule type="containsBlanks" dxfId="7" priority="1">
      <formula>LEN(TRIM(C6))=0</formula>
    </cfRule>
  </conditionalFormatting>
  <conditionalFormatting sqref="C23:M23">
    <cfRule type="containsBlanks" dxfId="6" priority="6">
      <formula>LEN(TRIM(C23))=0</formula>
    </cfRule>
  </conditionalFormatting>
  <conditionalFormatting sqref="C25:M38">
    <cfRule type="containsBlanks" dxfId="5" priority="7">
      <formula>LEN(TRIM(C25))=0</formula>
    </cfRule>
  </conditionalFormatting>
  <conditionalFormatting sqref="D22:M22">
    <cfRule type="containsBlanks" dxfId="4" priority="5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75" zoomScaleNormal="100" workbookViewId="0">
      <selection activeCell="H84" sqref="H84"/>
    </sheetView>
  </sheetViews>
  <sheetFormatPr defaultColWidth="12.33203125" defaultRowHeight="15" customHeight="1" x14ac:dyDescent="0.4"/>
  <cols>
    <col min="1" max="1" width="2.33203125" style="1" customWidth="1"/>
    <col min="2" max="2" width="28.59765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29017123.217571832</v>
      </c>
      <c r="E6" s="56">
        <f>1-D6/D3</f>
        <v>-1.2557022154227151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12388.534053910133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1000000USD)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116484</v>
      </c>
      <c r="D74" s="130"/>
      <c r="E74" s="148">
        <f>C74</f>
        <v>116484</v>
      </c>
      <c r="F74" s="130"/>
    </row>
    <row r="75" spans="1:9" ht="15" customHeight="1" x14ac:dyDescent="0.4">
      <c r="B75" s="117" t="s">
        <v>109</v>
      </c>
      <c r="C75" s="95">
        <f>Data!C8</f>
        <v>3771</v>
      </c>
      <c r="D75" s="131">
        <f>C75/$C$74</f>
        <v>3.237354486453075E-2</v>
      </c>
      <c r="E75" s="148">
        <f>D75*E74</f>
        <v>3771</v>
      </c>
      <c r="F75" s="149">
        <f>E75/$E$74</f>
        <v>3.237354486453075E-2</v>
      </c>
    </row>
    <row r="76" spans="1:9" ht="15" customHeight="1" x14ac:dyDescent="0.4">
      <c r="B76" s="35" t="s">
        <v>96</v>
      </c>
      <c r="C76" s="118">
        <f>C74-C75</f>
        <v>112713</v>
      </c>
      <c r="D76" s="132"/>
      <c r="E76" s="150">
        <f>E74-E75</f>
        <v>112713</v>
      </c>
      <c r="F76" s="132"/>
    </row>
    <row r="77" spans="1:9" ht="15" customHeight="1" x14ac:dyDescent="0.4">
      <c r="B77" s="117" t="s">
        <v>133</v>
      </c>
      <c r="C77" s="95">
        <f>Data!C10-Data!C12</f>
        <v>32070</v>
      </c>
      <c r="D77" s="131">
        <f>C77/$C$74</f>
        <v>0.27531678170392498</v>
      </c>
      <c r="E77" s="148">
        <f>D77*E74</f>
        <v>32069.999999999996</v>
      </c>
      <c r="F77" s="149">
        <f>E77/$E$74</f>
        <v>0.27531678170392498</v>
      </c>
    </row>
    <row r="78" spans="1:9" ht="15" customHeight="1" x14ac:dyDescent="0.4">
      <c r="B78" s="35" t="s">
        <v>97</v>
      </c>
      <c r="C78" s="118">
        <f>C76-C77</f>
        <v>80643</v>
      </c>
      <c r="D78" s="132"/>
      <c r="E78" s="150">
        <f>E76-E77</f>
        <v>80643</v>
      </c>
      <c r="F78" s="132"/>
    </row>
    <row r="79" spans="1:9" ht="15" customHeight="1" x14ac:dyDescent="0.4">
      <c r="B79" s="117" t="s">
        <v>129</v>
      </c>
      <c r="C79" s="95">
        <f>Data!C17</f>
        <v>65072</v>
      </c>
      <c r="D79" s="131">
        <f>C79/$C$74</f>
        <v>0.55863466227121317</v>
      </c>
      <c r="E79" s="148">
        <f>C79</f>
        <v>65072</v>
      </c>
      <c r="F79" s="149">
        <f>E79/$E$74</f>
        <v>0.55863466227121317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1%*E74</f>
        <v>1164.8399999999999</v>
      </c>
      <c r="F80" s="149">
        <f t="shared" ref="F80:F83" si="8">E80/$E$74</f>
        <v>9.9999999999999985E-3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2127</v>
      </c>
      <c r="D82" s="131">
        <f>C82/$C$74</f>
        <v>1.8260018543319254E-2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13444</v>
      </c>
      <c r="D83" s="133">
        <f>C83/$C$74</f>
        <v>0.11541499261701178</v>
      </c>
      <c r="E83" s="151">
        <f>E78-E79-E80-E81-E82</f>
        <v>14406.16</v>
      </c>
      <c r="F83" s="135">
        <f t="shared" si="8"/>
        <v>0.12367501116033103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0.23499999999999999</v>
      </c>
      <c r="H84" s="24" t="s">
        <v>231</v>
      </c>
    </row>
    <row r="85" spans="1:8" ht="15" customHeight="1" x14ac:dyDescent="0.4">
      <c r="B85" s="93" t="s">
        <v>179</v>
      </c>
      <c r="C85" s="118">
        <f>C83*(1-F84)</f>
        <v>10284.66</v>
      </c>
      <c r="D85" s="135">
        <f>C85/$C$74</f>
        <v>8.8292469352014014E-2</v>
      </c>
      <c r="E85" s="153">
        <f>E83*(1-F84)</f>
        <v>11020.7124</v>
      </c>
      <c r="F85" s="135">
        <f>E85/$E$74</f>
        <v>9.4611383537653249E-2</v>
      </c>
    </row>
    <row r="86" spans="1:8" ht="15" customHeight="1" x14ac:dyDescent="0.4">
      <c r="B86" s="94" t="s">
        <v>174</v>
      </c>
      <c r="C86" s="159">
        <f>C85*Data!E3/Common_Shares</f>
        <v>0.56483255824542611</v>
      </c>
      <c r="D86" s="130"/>
      <c r="E86" s="161">
        <f>E85*Data!E3/Common_Shares</f>
        <v>0.60525648670729892</v>
      </c>
      <c r="F86" s="130"/>
    </row>
    <row r="87" spans="1:8" ht="15" customHeight="1" x14ac:dyDescent="0.4">
      <c r="B87" s="93" t="s">
        <v>175</v>
      </c>
      <c r="C87" s="162">
        <f>0.1+0.1+0.1+0.31+0.21</f>
        <v>0.82000000000000006</v>
      </c>
      <c r="D87" s="135">
        <f>C87/C86</f>
        <v>1.451757672304189</v>
      </c>
      <c r="E87" s="160">
        <f>0.1+0.1+0.1+0.1</f>
        <v>0.4</v>
      </c>
      <c r="F87" s="135">
        <f>E87/E86</f>
        <v>0.66087684937681535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210</v>
      </c>
      <c r="D91" s="211" t="s">
        <v>219</v>
      </c>
      <c r="E91" s="211"/>
      <c r="F91" s="29">
        <f>E86*Exchange_Rate/Dashboard!G3</f>
        <v>6.5898725159799956E-2</v>
      </c>
      <c r="H91" s="195"/>
    </row>
    <row r="92" spans="1:8" ht="15" customHeight="1" x14ac:dyDescent="0.4">
      <c r="B92" s="1" t="str">
        <f>IF(C91="CN",Dashboard!B17,Dashboard!B12)</f>
        <v>Required Return (US)</v>
      </c>
      <c r="C92" s="173">
        <f>IF(C91="CN",Dashboard!C17,IF(C91="US",Dashboard!C12,IF(C91="HK",Dashboard!D12,Dashboard!D17)))</f>
        <v>8.4000000000000005E-2</v>
      </c>
      <c r="D92" s="194">
        <v>5</v>
      </c>
      <c r="E92" s="94" t="s">
        <v>220</v>
      </c>
      <c r="F92" s="193">
        <f>FV(F91,D92,0,-(E86/C92))</f>
        <v>9.9137937728039276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4">
      <c r="B95" s="1" t="s">
        <v>140</v>
      </c>
      <c r="C95" s="102">
        <f>D95*Common_Shares/Data!E3</f>
        <v>937560.85715699126</v>
      </c>
      <c r="D95" s="154">
        <f>PV(C92,D92,0,-F92)*Exchange_Rate</f>
        <v>51.490753944102948</v>
      </c>
      <c r="E95" s="154">
        <f>PV(15%,D92,0,-F92)*Exchange_Rate</f>
        <v>38.31655543951365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9439367.4462047592</v>
      </c>
      <c r="D97" s="197">
        <f>C97*Data!$E$3/Common_Shares</f>
        <v>518.40917082902388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10376928.303361751</v>
      </c>
      <c r="D98" s="124">
        <f>MAX(C98*Data!$E$3/Common_Shares,0)</f>
        <v>569.89992477312694</v>
      </c>
      <c r="E98" s="124">
        <f>E95*Exchange_Rate-D96+D97</f>
        <v>816.2760681679224</v>
      </c>
      <c r="F98" s="124">
        <f>D98*1.25</f>
        <v>712.37490596640873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884679.60490645375</v>
      </c>
      <c r="D101" s="154">
        <f>E87/(C92-2%)*Exchange_Rate</f>
        <v>48.586520552635193</v>
      </c>
      <c r="E101" s="124">
        <f>D101*(1-25%)</f>
        <v>36.439890414476395</v>
      </c>
      <c r="F101" s="124">
        <f>D101*1.25</f>
        <v>60.733150690793991</v>
      </c>
      <c r="H101" s="24" t="s">
        <v>221</v>
      </c>
    </row>
    <row r="102" spans="2:8" ht="15" customHeight="1" x14ac:dyDescent="0.4">
      <c r="H102" s="24"/>
    </row>
    <row r="103" spans="2:8" ht="15" customHeight="1" x14ac:dyDescent="0.4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225</v>
      </c>
      <c r="C104" s="102">
        <f>D104*Common_Shares/Data!E3</f>
        <v>5630803.9541341038</v>
      </c>
      <c r="D104" s="154">
        <f>(D98+D101)/2</f>
        <v>309.24322266288107</v>
      </c>
      <c r="E104" s="124">
        <f>D104*(1-25%)</f>
        <v>231.9324169971608</v>
      </c>
      <c r="F104" s="124">
        <f>D104*1.25</f>
        <v>386.55402832860136</v>
      </c>
    </row>
    <row r="106" spans="2:8" ht="15" customHeight="1" x14ac:dyDescent="0.4">
      <c r="B106" s="10" t="s">
        <v>180</v>
      </c>
      <c r="C106" s="164" t="s">
        <v>230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