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F77CD87-50D0-483F-8BB1-0499C2C33905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10" i="2"/>
  <c r="C10" i="2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<sst xmlns="http://schemas.openxmlformats.org/spreadsheetml/2006/main" count="253" uniqueCount="231">
  <si>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</si>
  <si>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</si>
  <si>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</si>
  <si>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</si>
  <si>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</si>
  <si>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</si>
  <si>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</si>
  <si>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</si>
  <si>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</si>
  <si>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</si>
  <si>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</si>
  <si>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</si>
  <si>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</si>
  <si>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</si>
  <si>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</si>
  <si>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</si>
  <si>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</si>
  <si>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</si>
  <si>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</si>
  <si>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</si>
  <si>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</si>
  <si>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</si>
  <si>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</si>
  <si>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</si>
  <si>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</si>
  <si>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</si>
  <si>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</si>
  <si>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</si>
  <si>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</si>
  <si>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</si>
  <si>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</si>
  <si>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</si>
  <si>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</si>
  <si>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</si>
  <si>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</si>
  <si>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</si>
  <si>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</si>
  <si>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</si>
  <si>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</si>
  <si>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</si>
  <si>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</si>
  <si>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</si>
  <si>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</si>
  <si>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</si>
  <si>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</si>
  <si>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</si>
  <si>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</si>
  <si>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</si>
  <si>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</si>
  <si>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</si>
  <si>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</si>
  <si>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</si>
  <si>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</si>
  <si>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</si>
  <si>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</si>
  <si>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</si>
  <si>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</si>
  <si>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</si>
  <si>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</si>
  <si>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</si>
  <si>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</si>
  <si>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</si>
  <si>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</si>
  <si>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</si>
  <si>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</si>
  <si>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</si>
  <si>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</si>
  <si>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</si>
  <si>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</si>
  <si>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</si>
  <si>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</si>
  <si>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</si>
  <si>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</si>
  <si>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</si>
  <si>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</si>
  <si>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</si>
  <si>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</si>
  <si>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</si>
  <si>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</si>
  <si>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</si>
  <si>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</si>
  <si>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</si>
  <si>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</si>
  <si>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</si>
  <si>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</si>
  <si>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</si>
  <si>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</si>
  <si>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</si>
  <si>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</si>
  <si>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</si>
  <si>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</si>
  <si>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</si>
  <si>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</si>
  <si>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</si>
  <si>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</si>
  <si>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</si>
  <si>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</si>
  <si>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</si>
  <si>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</si>
  <si>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</si>
  <si>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</si>
  <si>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</si>
  <si>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</si>
  <si>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</si>
  <si>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</si>
  <si>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</si>
  <si>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</si>
  <si>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</si>
  <si>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</si>
  <si>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</si>
  <si>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</si>
  <si>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</si>
  <si>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</si>
  <si>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</si>
  <si>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</si>
  <si>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</si>
  <si>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</si>
  <si>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</si>
  <si>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</si>
  <si>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</si>
  <si>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</si>
  <si>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</si>
  <si>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</si>
  <si>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</si>
  <si>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</si>
  <si>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</si>
  <si>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</si>
  <si>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</si>
  <si>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</si>
  <si>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</si>
  <si>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</si>
  <si>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</si>
  <si>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</si>
  <si>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</si>
  <si>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</si>
  <si>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</si>
  <si>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</si>
  <si>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</si>
  <si>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</si>
  <si>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</si>
  <si>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</si>
  <si>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</si>
  <si>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</si>
  <si>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</si>
  <si>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</si>
  <si>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</si>
  <si>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</si>
  <si>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</si>
  <si>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</si>
  <si>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</si>
  <si>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</si>
  <si>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</si>
  <si>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</si>
  <si>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</si>
  <si>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</si>
  <si>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</si>
  <si>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</si>
  <si>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</si>
  <si>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</si>
  <si>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</si>
  <si>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</si>
  <si>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</si>
  <si>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</si>
  <si>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</si>
  <si>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</si>
  <si>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</si>
  <si>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</si>
  <si>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</si>
  <si>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</si>
  <si>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</si>
  <si>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</si>
  <si>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</si>
  <si>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</si>
  <si>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</si>
  <si>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</si>
  <si>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</si>
  <si>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</si>
  <si>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</si>
  <si>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</si>
  <si>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</si>
  <si>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</si>
  <si>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</si>
  <si>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</si>
  <si>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</si>
  <si>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</si>
  <si>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</si>
  <si>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</si>
  <si>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</si>
  <si>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</si>
  <si>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</si>
  <si>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</si>
  <si>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</si>
  <si>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</si>
  <si>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</si>
  <si>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</si>
  <si>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</si>
  <si>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</si>
  <si>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</si>
  <si>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</si>
  <si>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</si>
  <si>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</si>
  <si>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</si>
  <si>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</si>
  <si>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</si>
  <si>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</si>
  <si>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</si>
  <si>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</si>
  <si>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</si>
  <si>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</si>
  <si>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</si>
  <si>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</si>
  <si>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</si>
  <si>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</si>
  <si>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</si>
  <si>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</si>
  <si>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</si>
  <si>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</si>
  <si>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</si>
  <si>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</si>
  <si>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</si>
  <si>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</si>
  <si>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</si>
  <si>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</si>
  <si>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</si>
  <si>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</si>
  <si>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</si>
  <si>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</si>
  <si>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0069.HK</t>
  </si>
  <si>
    <t>SHANGRI-LA ASIA</t>
  </si>
  <si>
    <t>C0011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</si>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</sst>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5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3" sqref="C1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227</v>
      </c>
      <c r="D3" s="202"/>
      <c r="E3" s="94"/>
      <c r="F3" s="3" t="s">
        <v>1</v>
      </c>
      <c r="G3" s="169">
        <v>5.4099998474121094</v>
      </c>
      <c r="H3" s="171" t="s">
        <v>2</v>
      </c>
    </row>
    <row r="4" spans="1:10" ht="15.75" customHeight="1" x14ac:dyDescent="0.4">
      <c r="B4" s="35" t="s">
        <v>218</v>
      </c>
      <c r="C4" s="203" t="s">
        <v>228</v>
      </c>
      <c r="D4" s="204"/>
      <c r="E4" s="94"/>
      <c r="F4" s="3" t="s">
        <v>3</v>
      </c>
      <c r="G4" s="207">
        <v>3585525056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19397.690005852295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230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229</v>
      </c>
      <c r="E7" s="94"/>
      <c r="F7" s="35" t="s">
        <v>6</v>
      </c>
      <c r="G7" s="170">
        <v>7.7738432884216309</v>
      </c>
      <c r="H7" s="77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0.45524911405880131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0.44873026767330132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0.12063647696552883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0.1939731619430608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-3.5159499407367727E-2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-1.0479275028623996</v>
      </c>
    </row>
    <row r="26" spans="1:8" ht="15.75" customHeight="1" x14ac:dyDescent="0.4">
      <c r="B26" s="176" t="s">
        <v>191</v>
      </c>
      <c r="C26" s="175">
        <f>Fin_Analysis!F83</f>
        <v>-5.4615858697631421E-2</v>
      </c>
      <c r="F26" s="180" t="s">
        <v>216</v>
      </c>
      <c r="G26" s="179">
        <f>Fin_Analysis!E87*Exchange_Rate/G3</f>
        <v>3.684460641585488E-2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-4.6852409536925563</v>
      </c>
      <c r="D29" s="165">
        <f>IF(Fin_Analysis!C106="Profit",Fin_Analysis!F98,IF(Fin_Analysis!C106="Dividend",Fin_Analysis!F101,Fin_Analysis!F104))</f>
        <v>1.7095349284414096</v>
      </c>
      <c r="E29" s="94"/>
      <c r="F29" s="167">
        <f>IF(Fin_Analysis!C106="Profit",Fin_Analysis!D98,IF(Fin_Analysis!C106="Dividend",Fin_Analysis!D101,Fin_Analysis!D104))</f>
        <v>1.3676279427531277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30" sqref="C3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2141790</v>
      </c>
      <c r="D6" s="58">
        <v>1462145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0.46482735980357615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975048</v>
      </c>
      <c r="D8" s="92">
        <v>775627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1166742</v>
      </c>
      <c r="D9" s="101">
        <f t="shared" si="2"/>
        <v>686518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80205+241069+639812</f>
        <v>961086</v>
      </c>
      <c r="D10" s="92">
        <f>64947+195389+539378</f>
        <v>799714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205656</v>
      </c>
      <c r="D13" s="101">
        <f t="shared" ref="D13:M13" si="4">IF(D6="","",(D9-D10+D12))</f>
        <v>-113196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258378</v>
      </c>
      <c r="D17" s="92">
        <v>360932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17537</v>
      </c>
      <c r="D18" s="92">
        <v>-28933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-76104.666666666672</v>
      </c>
      <c r="D19" s="95">
        <f>IF(D6="","",D13-D14-MAX(D15,0)-MAX(D16,0)-D17-MAX(D18/(1-Fin_Analysis!$F$84),0))</f>
        <v>-474128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0.83948497733382821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-2.6649904986016368E-2</v>
      </c>
      <c r="D21" s="56">
        <f t="shared" si="6"/>
        <v>-0.24320159765276358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-57078.5</v>
      </c>
      <c r="D22" s="95">
        <f>IF(D6="","",D19*(1-Fin_Analysis!$F$84))</f>
        <v>-355596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0.83948497733382832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-5.4633177696950521E-3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0.45524911405880131</v>
      </c>
      <c r="D40" s="61">
        <f t="shared" si="21"/>
        <v>0.5304720120097528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0.44873026767330132</v>
      </c>
      <c r="D41" s="56">
        <f t="shared" si="22"/>
        <v>0.54694575435404835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0.12063647696552883</v>
      </c>
      <c r="D44" s="56">
        <f t="shared" si="25"/>
        <v>0.2468510305065503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1.0917347950390406E-2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-3.5533206648021828E-2</v>
      </c>
      <c r="D46" s="56">
        <f t="shared" si="26"/>
        <v>-0.32426879687035143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0.12408919641981707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4.5159684189392983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-7.8529905745814671E-2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-3.3950349080652082</v>
      </c>
      <c r="D53" s="56">
        <f t="shared" si="31"/>
        <v>-0.76125434481827692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zoomScaleNormal="100" workbookViewId="0">
      <selection activeCell="D91" sqref="D91:E9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29017123.217571832</v>
      </c>
      <c r="E6" s="56">
        <f>1-D6/D3</f>
        <v>-1.2557022154227151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62.912562330794174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1000USD)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2141790</v>
      </c>
      <c r="D74" s="130"/>
      <c r="E74" s="148">
        <f>C74</f>
        <v>2141790</v>
      </c>
      <c r="F74" s="130"/>
    </row>
    <row r="75" spans="1:9" ht="15" customHeight="1" x14ac:dyDescent="0.4">
      <c r="B75" s="117" t="s">
        <v>109</v>
      </c>
      <c r="C75" s="95">
        <f>Data!C8</f>
        <v>975048</v>
      </c>
      <c r="D75" s="131">
        <f>C75/$C$74</f>
        <v>0.45524911405880131</v>
      </c>
      <c r="E75" s="148">
        <f>D75*E74</f>
        <v>975048</v>
      </c>
      <c r="F75" s="149">
        <f>E75/$E$74</f>
        <v>0.45524911405880131</v>
      </c>
    </row>
    <row r="76" spans="1:9" ht="15" customHeight="1" x14ac:dyDescent="0.4">
      <c r="B76" s="35" t="s">
        <v>96</v>
      </c>
      <c r="C76" s="118">
        <f>C74-C75</f>
        <v>1166742</v>
      </c>
      <c r="D76" s="132"/>
      <c r="E76" s="150">
        <f>E74-E75</f>
        <v>1166742</v>
      </c>
      <c r="F76" s="132"/>
    </row>
    <row r="77" spans="1:9" ht="15" customHeight="1" x14ac:dyDescent="0.4">
      <c r="B77" s="117" t="s">
        <v>133</v>
      </c>
      <c r="C77" s="95">
        <f>Data!C10-Data!C12</f>
        <v>961086</v>
      </c>
      <c r="D77" s="131">
        <f>C77/$C$74</f>
        <v>0.44873026767330132</v>
      </c>
      <c r="E77" s="148">
        <f>D77*E74</f>
        <v>961086</v>
      </c>
      <c r="F77" s="149">
        <f>E77/$E$74</f>
        <v>0.44873026767330132</v>
      </c>
    </row>
    <row r="78" spans="1:9" ht="15" customHeight="1" x14ac:dyDescent="0.4">
      <c r="B78" s="35" t="s">
        <v>97</v>
      </c>
      <c r="C78" s="118">
        <f>C76-C77</f>
        <v>205656</v>
      </c>
      <c r="D78" s="132"/>
      <c r="E78" s="150">
        <f>E76-E77</f>
        <v>205656</v>
      </c>
      <c r="F78" s="132"/>
    </row>
    <row r="79" spans="1:9" ht="15" customHeight="1" x14ac:dyDescent="0.4">
      <c r="B79" s="117" t="s">
        <v>129</v>
      </c>
      <c r="C79" s="95">
        <f>Data!C17</f>
        <v>258378</v>
      </c>
      <c r="D79" s="131">
        <f>C79/$C$74</f>
        <v>0.12063647696552883</v>
      </c>
      <c r="E79" s="148">
        <f>C79</f>
        <v>258378</v>
      </c>
      <c r="F79" s="149">
        <f>E79/$E$74</f>
        <v>0.12063647696552883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64253.7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17537</v>
      </c>
      <c r="D82" s="131">
        <f>C82/$C$74</f>
        <v>8.1880109627928046E-3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-70259</v>
      </c>
      <c r="D83" s="133">
        <f>C83/$C$74</f>
        <v>-3.2803869660424222E-2</v>
      </c>
      <c r="E83" s="151">
        <f>E78-E79-E80-E81-E82</f>
        <v>-116975.7</v>
      </c>
      <c r="F83" s="135">
        <f t="shared" si="8"/>
        <v>-5.4615858697631421E-2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-52694.25</v>
      </c>
      <c r="D85" s="135">
        <f>C85/$C$74</f>
        <v>-2.4602902245318168E-2</v>
      </c>
      <c r="E85" s="153">
        <f>E83*(1-F84)</f>
        <v>-87731.774999999994</v>
      </c>
      <c r="F85" s="135">
        <f>E85/$E$74</f>
        <v>-4.0961894023223561E-2</v>
      </c>
    </row>
    <row r="86" spans="1:8" ht="15" customHeight="1" x14ac:dyDescent="0.4">
      <c r="B86" s="94" t="s">
        <v>174</v>
      </c>
      <c r="C86" s="159">
        <f>C85*Data!E3/Common_Shares</f>
        <v>-1.4696383145286268E-2</v>
      </c>
      <c r="D86" s="130"/>
      <c r="E86" s="161">
        <f>E85*Data!E3/Common_Shares</f>
        <v>-2.4468320156678332E-2</v>
      </c>
      <c r="F86" s="130"/>
    </row>
    <row r="87" spans="1:8" ht="15" customHeight="1" x14ac:dyDescent="0.4">
      <c r="B87" s="93" t="s">
        <v>175</v>
      </c>
      <c r="C87" s="162">
        <f>(0.05+0.15)/7.8</f>
        <v>2.5641025641025644E-2</v>
      </c>
      <c r="D87" s="135">
        <f>C87/C86</f>
        <v>-1.7447167365971792</v>
      </c>
      <c r="E87" s="160">
        <f>C87</f>
        <v>2.5641025641025644E-2</v>
      </c>
      <c r="F87" s="135">
        <f>E87/E86</f>
        <v>-1.0479275028623996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211</v>
      </c>
      <c r="D91" s="211" t="s">
        <v>220</v>
      </c>
      <c r="E91" s="211"/>
      <c r="F91" s="29">
        <f>E86*Exchange_Rate/Dashboard!G3</f>
        <v>-3.5159499407367727E-2</v>
      </c>
      <c r="H91" s="195"/>
    </row>
    <row r="92" spans="1:8" ht="15" customHeight="1" x14ac:dyDescent="0.4">
      <c r="B92" s="1" t="str">
        <f>IF(C91="CN",Dashboard!B17,Dashboard!B12)</f>
        <v>Required Return (US)</v>
      </c>
      <c r="C92" s="173">
        <f>IF(C91="CN",Dashboard!C17,IF(C91="US",Dashboard!C12,IF(C91="HK",Dashboard!D12,Dashboard!D17)))</f>
        <v>8.4000000000000005E-2</v>
      </c>
      <c r="D92" s="194">
        <v>5</v>
      </c>
      <c r="E92" s="94" t="s">
        <v>221</v>
      </c>
      <c r="F92" s="193">
        <f>FV(F91,D92,0,-(E86/C92))</f>
        <v>-0.24355805373991168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-4535703.1901776865</v>
      </c>
      <c r="D95" s="154">
        <f>PV(C92,D92,0,-F92)*Exchange_Rate</f>
        <v>-1.2650039030093134</v>
      </c>
      <c r="E95" s="154">
        <f>PV(15%,D92,0,-F92)*Exchange_Rate</f>
        <v>-0.94134555173684087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9439367.4462047592</v>
      </c>
      <c r="D97" s="197">
        <f>C97*Data!$E$3/Common_Shares</f>
        <v>2.6326318457624409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4903664.2560270727</v>
      </c>
      <c r="D98" s="124">
        <f>MAX(C98*Data!$E$3/Common_Shares,0)</f>
        <v>1.3676279427531277</v>
      </c>
      <c r="E98" s="124">
        <f>E95*Exchange_Rate-D96+D97</f>
        <v>-4.6852409536925563</v>
      </c>
      <c r="F98" s="124">
        <f>D98*1.25</f>
        <v>1.7095349284414096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11167191.463162336</v>
      </c>
      <c r="D101" s="154">
        <f>E87/(C92-2%)*Exchange_Rate</f>
        <v>3.1145205482458458</v>
      </c>
      <c r="E101" s="124">
        <f>D101*(1-25%)</f>
        <v>2.3358904111843843</v>
      </c>
      <c r="F101" s="124">
        <f>D101*1.25</f>
        <v>3.8931506853073072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8035427.8595947046</v>
      </c>
      <c r="D104" s="154">
        <f>(D98+D101)/2</f>
        <v>2.2410742454994868</v>
      </c>
      <c r="E104" s="124">
        <f>D104*(1-25%)</f>
        <v>1.6808056841246151</v>
      </c>
      <c r="F104" s="124">
        <f>D104*1.25</f>
        <v>2.8013428068743584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